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Loading Calculator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Summary 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dd/mm/yyyy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FFFFFF"/>
      <sz val="11"/>
    </font>
    <font>
      <sz val="11"/>
    </font>
    <font>
      <b val="1"/>
      <sz val="11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ECFDF5"/>
      </patternFill>
    </fill>
    <fill>
      <patternFill patternType="solid">
        <fgColor rgb="00006A4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0" borderId="1" pivotButton="0" quotePrefix="0" xfId="0"/>
    <xf numFmtId="167" fontId="3" fillId="3" borderId="1" applyAlignment="1" pivotButton="0" quotePrefix="0" xfId="0">
      <alignment horizontal="right" vertical="center"/>
    </xf>
    <xf numFmtId="0" fontId="3" fillId="4" borderId="1" pivotButton="0" quotePrefix="0" xfId="0"/>
    <xf numFmtId="0" fontId="4" fillId="0" borderId="0" pivotButton="0" quotePrefix="0" xfId="0"/>
    <xf numFmtId="0" fontId="4" fillId="5" borderId="1" pivotButton="0" quotePrefix="0" xfId="0"/>
    <xf numFmtId="1" fontId="3" fillId="5" borderId="1" applyAlignment="1" pivotButton="0" quotePrefix="0" xfId="0">
      <alignment horizontal="right" vertical="center"/>
    </xf>
    <xf numFmtId="0" fontId="4" fillId="4" borderId="1" pivotButton="0" quotePrefix="0" xfId="0"/>
    <xf numFmtId="1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0" fontId="2" fillId="6" borderId="0" pivotButton="0" quotePrefix="0" xfId="0"/>
    <xf numFmtId="0" fontId="0" fillId="6" borderId="0" pivotButton="0" quotePrefix="0" xfId="0"/>
    <xf numFmtId="164" fontId="0" fillId="0" borderId="0" pivotButton="0" quotePrefix="0" xfId="0"/>
    <xf numFmtId="164" fontId="3" fillId="3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left" vertical="center"/>
    </xf>
    <xf numFmtId="166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Leave Loading by Employee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'Leave Loading Calculator'!O2</f>
            </strRef>
          </tx>
          <spPr>
            <a:ln xmlns:a="http://schemas.openxmlformats.org/drawingml/2006/main">
              <a:prstDash val="solid"/>
            </a:ln>
          </spPr>
          <cat>
            <numRef>
              <f>'Leave Loading Calculator'!$B$3:$B$12</f>
            </numRef>
          </cat>
          <val>
            <numRef>
              <f>'Leave Loading Calculator'!$O$3:$O$12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Loading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Base Leave Pay vs Leave Loading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 Dashboard'!$A$26:$A$27</f>
            </numRef>
          </cat>
          <val>
            <numRef>
              <f>'Summary Dashboard'!$B$26:$B$27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Leave Loading by Location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Dashboard'!$A$14:$A$23</f>
            </numRef>
          </cat>
          <val>
            <numRef>
              <f>'Summary Dashboard'!$C$14:$C$23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Loading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35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0" customWidth="1" min="3" max="3"/>
    <col width="13" customWidth="1" min="4" max="4"/>
    <col width="15" customWidth="1" min="5" max="5"/>
    <col width="15" customWidth="1" min="6" max="6"/>
    <col width="14" customWidth="1" min="7" max="7"/>
    <col width="12" customWidth="1" min="8" max="8"/>
    <col width="14" customWidth="1" min="9" max="9"/>
    <col width="14" customWidth="1" min="10" max="10"/>
    <col width="11" customWidth="1" min="11" max="11"/>
    <col width="11" customWidth="1" min="12" max="12"/>
    <col width="12" customWidth="1" min="13" max="13"/>
    <col width="17" customWidth="1" min="14" max="14"/>
    <col width="17" customWidth="1" min="15" max="15"/>
    <col width="16" customWidth="1" min="16" max="16"/>
    <col width="17" customWidth="1" min="17" max="17"/>
    <col width="18" customWidth="1" min="18" max="18"/>
    <col width="13" customWidth="1" min="19" max="19"/>
  </cols>
  <sheetData>
    <row r="1" ht="24" customHeight="1">
      <c r="A1" s="1" t="inlineStr">
        <is>
          <t>Annual Leave Loading Calculator — 2026</t>
        </is>
      </c>
    </row>
    <row r="2" ht="40" customHeight="1">
      <c r="A2" s="2" t="inlineStr">
        <is>
          <t>Employee ID</t>
        </is>
      </c>
      <c r="B2" s="2" t="inlineStr">
        <is>
          <t>Employee Name</t>
        </is>
      </c>
      <c r="C2" s="2" t="inlineStr">
        <is>
          <t>Job Title</t>
        </is>
      </c>
      <c r="D2" s="2" t="inlineStr">
        <is>
          <t>Location</t>
        </is>
      </c>
      <c r="E2" s="2" t="inlineStr">
        <is>
          <t>Employment Type</t>
        </is>
      </c>
      <c r="F2" s="2" t="inlineStr">
        <is>
          <t>Annual Salary ($)</t>
        </is>
      </c>
      <c r="G2" s="2" t="inlineStr">
        <is>
          <t>Ordinary Weekly Hours</t>
        </is>
      </c>
      <c r="H2" s="2" t="inlineStr">
        <is>
          <t>Hourly Rate ($)</t>
        </is>
      </c>
      <c r="I2" s="2" t="inlineStr">
        <is>
          <t>Leave Start Date</t>
        </is>
      </c>
      <c r="J2" s="2" t="inlineStr">
        <is>
          <t>Leave End Date</t>
        </is>
      </c>
      <c r="K2" s="2" t="inlineStr">
        <is>
          <t>Leave Days</t>
        </is>
      </c>
      <c r="L2" s="2" t="inlineStr">
        <is>
          <t>Leave Weeks</t>
        </is>
      </c>
      <c r="M2" s="2" t="inlineStr">
        <is>
          <t>Loading Rate</t>
        </is>
      </c>
      <c r="N2" s="2" t="inlineStr">
        <is>
          <t>Base Annual Leave Pay ($)</t>
        </is>
      </c>
      <c r="O2" s="2" t="inlineStr">
        <is>
          <t>Annual Leave Loading ($)</t>
        </is>
      </c>
      <c r="P2" s="2" t="inlineStr">
        <is>
          <t>Total Leave Payment ($)</t>
        </is>
      </c>
      <c r="Q2" s="2" t="inlineStr">
        <is>
          <t>Superannuation on Loading ($)</t>
        </is>
      </c>
      <c r="R2" s="2" t="inlineStr">
        <is>
          <t>Estimated PAYG Withholding ($)</t>
        </is>
      </c>
      <c r="S2" s="2" t="inlineStr">
        <is>
          <t>Review Status</t>
        </is>
      </c>
    </row>
    <row r="3">
      <c r="A3" s="3" t="inlineStr">
        <is>
          <t>EMP001</t>
        </is>
      </c>
      <c r="B3" s="4" t="inlineStr">
        <is>
          <t>Jack Thompson</t>
        </is>
      </c>
      <c r="C3" s="4" t="inlineStr">
        <is>
          <t>Office Administrator</t>
        </is>
      </c>
      <c r="D3" s="3" t="inlineStr">
        <is>
          <t>Sydney</t>
        </is>
      </c>
      <c r="E3" s="3" t="inlineStr">
        <is>
          <t>Full-time</t>
        </is>
      </c>
      <c r="F3" s="29" t="n">
        <v>84500</v>
      </c>
      <c r="G3" s="3" t="n">
        <v>38</v>
      </c>
      <c r="H3" s="30">
        <f>IFERROR(F3/52/G3,0)</f>
        <v/>
      </c>
      <c r="I3" s="31" t="n">
        <v>46034</v>
      </c>
      <c r="J3" s="31" t="n">
        <v>46043</v>
      </c>
      <c r="K3" s="8">
        <f>IF(OR(I3="",J3=""),0,J3-I3+1)</f>
        <v/>
      </c>
      <c r="L3" s="32">
        <f>K3/5</f>
        <v/>
      </c>
      <c r="M3" s="33">
        <f>IFERROR(VLOOKUP(C3,Instructions!$B$8:$C$12,2,FALSE),VLOOKUP("Standard Default",Instructions!$B$8:$C$12,2,FALSE))</f>
        <v/>
      </c>
      <c r="N3" s="30">
        <f>H3*G3*L3</f>
        <v/>
      </c>
      <c r="O3" s="30">
        <f>N3*M3</f>
        <v/>
      </c>
      <c r="P3" s="30">
        <f>N3+O3</f>
        <v/>
      </c>
      <c r="Q3" s="30">
        <f>O3*0.115</f>
        <v/>
      </c>
      <c r="R3" s="29" t="n">
        <v>1800</v>
      </c>
      <c r="S3" s="8">
        <f>IF(M3=0,"Check rate",IF(O3&gt;0,"Calculated","Review"))</f>
        <v/>
      </c>
    </row>
    <row r="4">
      <c r="A4" s="3" t="inlineStr">
        <is>
          <t>EMP002</t>
        </is>
      </c>
      <c r="B4" s="4" t="inlineStr">
        <is>
          <t>Olivia Martin</t>
        </is>
      </c>
      <c r="C4" s="4" t="inlineStr">
        <is>
          <t>Retail Assistant</t>
        </is>
      </c>
      <c r="D4" s="3" t="inlineStr">
        <is>
          <t>Melbourne</t>
        </is>
      </c>
      <c r="E4" s="3" t="inlineStr">
        <is>
          <t>Full-time</t>
        </is>
      </c>
      <c r="F4" s="29" t="n">
        <v>62000</v>
      </c>
      <c r="G4" s="3" t="n">
        <v>38</v>
      </c>
      <c r="H4" s="34">
        <f>IFERROR(F4/52/G4,0)</f>
        <v/>
      </c>
      <c r="I4" s="31" t="n">
        <v>46055</v>
      </c>
      <c r="J4" s="31" t="n">
        <v>46059</v>
      </c>
      <c r="K4" s="12">
        <f>IF(OR(I4="",J4=""),0,J4-I4+1)</f>
        <v/>
      </c>
      <c r="L4" s="35">
        <f>K4/5</f>
        <v/>
      </c>
      <c r="M4" s="36">
        <f>IFERROR(VLOOKUP(C4,Instructions!$B$8:$C$12,2,FALSE),VLOOKUP("Standard Default",Instructions!$B$8:$C$12,2,FALSE))</f>
        <v/>
      </c>
      <c r="N4" s="34">
        <f>H4*G4*L4</f>
        <v/>
      </c>
      <c r="O4" s="34">
        <f>N4*M4</f>
        <v/>
      </c>
      <c r="P4" s="34">
        <f>N4+O4</f>
        <v/>
      </c>
      <c r="Q4" s="34">
        <f>O4*0.115</f>
        <v/>
      </c>
      <c r="R4" s="29" t="n">
        <v>950</v>
      </c>
      <c r="S4" s="12">
        <f>IF(M4=0,"Check rate",IF(O4&gt;0,"Calculated","Review"))</f>
        <v/>
      </c>
    </row>
    <row r="5">
      <c r="A5" s="3" t="inlineStr">
        <is>
          <t>EMP003</t>
        </is>
      </c>
      <c r="B5" s="4" t="inlineStr">
        <is>
          <t>Liam Walker</t>
        </is>
      </c>
      <c r="C5" s="4" t="inlineStr">
        <is>
          <t>Warehouse Operator</t>
        </is>
      </c>
      <c r="D5" s="3" t="inlineStr">
        <is>
          <t>Brisbane</t>
        </is>
      </c>
      <c r="E5" s="3" t="inlineStr">
        <is>
          <t>Full-time</t>
        </is>
      </c>
      <c r="F5" s="29" t="n">
        <v>71500</v>
      </c>
      <c r="G5" s="3" t="n">
        <v>38</v>
      </c>
      <c r="H5" s="30">
        <f>IFERROR(F5/52/G5,0)</f>
        <v/>
      </c>
      <c r="I5" s="31" t="n">
        <v>46097</v>
      </c>
      <c r="J5" s="31" t="n">
        <v>46108</v>
      </c>
      <c r="K5" s="8">
        <f>IF(OR(I5="",J5=""),0,J5-I5+1)</f>
        <v/>
      </c>
      <c r="L5" s="32">
        <f>K5/5</f>
        <v/>
      </c>
      <c r="M5" s="33">
        <f>IFERROR(VLOOKUP(C5,Instructions!$B$8:$C$12,2,FALSE),VLOOKUP("Standard Default",Instructions!$B$8:$C$12,2,FALSE))</f>
        <v/>
      </c>
      <c r="N5" s="30">
        <f>H5*G5*L5</f>
        <v/>
      </c>
      <c r="O5" s="30">
        <f>N5*M5</f>
        <v/>
      </c>
      <c r="P5" s="30">
        <f>N5+O5</f>
        <v/>
      </c>
      <c r="Q5" s="30">
        <f>O5*0.115</f>
        <v/>
      </c>
      <c r="R5" s="29" t="n">
        <v>1300</v>
      </c>
      <c r="S5" s="8">
        <f>IF(M5=0,"Check rate",IF(O5&gt;0,"Calculated","Review"))</f>
        <v/>
      </c>
    </row>
    <row r="6">
      <c r="A6" s="3" t="inlineStr">
        <is>
          <t>EMP004</t>
        </is>
      </c>
      <c r="B6" s="4" t="inlineStr">
        <is>
          <t>Charlotte Hughes</t>
        </is>
      </c>
      <c r="C6" s="4" t="inlineStr">
        <is>
          <t>Hospitality Worker</t>
        </is>
      </c>
      <c r="D6" s="3" t="inlineStr">
        <is>
          <t>Perth</t>
        </is>
      </c>
      <c r="E6" s="3" t="inlineStr">
        <is>
          <t>Part-time</t>
        </is>
      </c>
      <c r="F6" s="29" t="n">
        <v>68000</v>
      </c>
      <c r="G6" s="3" t="n">
        <v>25</v>
      </c>
      <c r="H6" s="34">
        <f>IFERROR(F6/52/G6,0)</f>
        <v/>
      </c>
      <c r="I6" s="31" t="n">
        <v>46118</v>
      </c>
      <c r="J6" s="31" t="n">
        <v>46127</v>
      </c>
      <c r="K6" s="12">
        <f>IF(OR(I6="",J6=""),0,J6-I6+1)</f>
        <v/>
      </c>
      <c r="L6" s="35">
        <f>K6/5</f>
        <v/>
      </c>
      <c r="M6" s="36">
        <f>IFERROR(VLOOKUP(C6,Instructions!$B$8:$C$12,2,FALSE),VLOOKUP("Standard Default",Instructions!$B$8:$C$12,2,FALSE))</f>
        <v/>
      </c>
      <c r="N6" s="34">
        <f>H6*G6*L6</f>
        <v/>
      </c>
      <c r="O6" s="34">
        <f>N6*M6</f>
        <v/>
      </c>
      <c r="P6" s="34">
        <f>N6+O6</f>
        <v/>
      </c>
      <c r="Q6" s="34">
        <f>O6*0.115</f>
        <v/>
      </c>
      <c r="R6" s="29" t="n">
        <v>1100</v>
      </c>
      <c r="S6" s="12">
        <f>IF(M6=0,"Check rate",IF(O6&gt;0,"Calculated","Review"))</f>
        <v/>
      </c>
    </row>
    <row r="7">
      <c r="A7" s="3" t="inlineStr">
        <is>
          <t>EMP005</t>
        </is>
      </c>
      <c r="B7" s="4" t="inlineStr">
        <is>
          <t>Noah Campbell</t>
        </is>
      </c>
      <c r="C7" s="4" t="inlineStr">
        <is>
          <t>Office Administrator</t>
        </is>
      </c>
      <c r="D7" s="3" t="inlineStr">
        <is>
          <t>Adelaide</t>
        </is>
      </c>
      <c r="E7" s="3" t="inlineStr">
        <is>
          <t>Full-time</t>
        </is>
      </c>
      <c r="F7" s="29" t="n">
        <v>98000</v>
      </c>
      <c r="G7" s="3" t="n">
        <v>38</v>
      </c>
      <c r="H7" s="30">
        <f>IFERROR(F7/52/G7,0)</f>
        <v/>
      </c>
      <c r="I7" s="31" t="n">
        <v>46146</v>
      </c>
      <c r="J7" s="31" t="n">
        <v>46150</v>
      </c>
      <c r="K7" s="8">
        <f>IF(OR(I7="",J7=""),0,J7-I7+1)</f>
        <v/>
      </c>
      <c r="L7" s="32">
        <f>K7/5</f>
        <v/>
      </c>
      <c r="M7" s="33">
        <f>IFERROR(VLOOKUP(C7,Instructions!$B$8:$C$12,2,FALSE),VLOOKUP("Standard Default",Instructions!$B$8:$C$12,2,FALSE))</f>
        <v/>
      </c>
      <c r="N7" s="30">
        <f>H7*G7*L7</f>
        <v/>
      </c>
      <c r="O7" s="30">
        <f>N7*M7</f>
        <v/>
      </c>
      <c r="P7" s="30">
        <f>N7+O7</f>
        <v/>
      </c>
      <c r="Q7" s="30">
        <f>O7*0.115</f>
        <v/>
      </c>
      <c r="R7" s="29" t="n">
        <v>1750</v>
      </c>
      <c r="S7" s="8">
        <f>IF(M7=0,"Check rate",IF(O7&gt;0,"Calculated","Review"))</f>
        <v/>
      </c>
    </row>
    <row r="8">
      <c r="A8" s="3" t="inlineStr">
        <is>
          <t>EMP006</t>
        </is>
      </c>
      <c r="B8" s="4" t="inlineStr">
        <is>
          <t>Mia Bennett</t>
        </is>
      </c>
      <c r="C8" s="4" t="inlineStr">
        <is>
          <t>Retail Assistant</t>
        </is>
      </c>
      <c r="D8" s="3" t="inlineStr">
        <is>
          <t>Gold Coast</t>
        </is>
      </c>
      <c r="E8" s="3" t="inlineStr">
        <is>
          <t>Part-time</t>
        </is>
      </c>
      <c r="F8" s="29" t="n">
        <v>64000</v>
      </c>
      <c r="G8" s="3" t="n">
        <v>30</v>
      </c>
      <c r="H8" s="34">
        <f>IFERROR(F8/52/G8,0)</f>
        <v/>
      </c>
      <c r="I8" s="31" t="n">
        <v>46188</v>
      </c>
      <c r="J8" s="31" t="n">
        <v>46199</v>
      </c>
      <c r="K8" s="12">
        <f>IF(OR(I8="",J8=""),0,J8-I8+1)</f>
        <v/>
      </c>
      <c r="L8" s="35">
        <f>K8/5</f>
        <v/>
      </c>
      <c r="M8" s="36">
        <f>IFERROR(VLOOKUP(C8,Instructions!$B$8:$C$12,2,FALSE),VLOOKUP("Standard Default",Instructions!$B$8:$C$12,2,FALSE))</f>
        <v/>
      </c>
      <c r="N8" s="34">
        <f>H8*G8*L8</f>
        <v/>
      </c>
      <c r="O8" s="34">
        <f>N8*M8</f>
        <v/>
      </c>
      <c r="P8" s="34">
        <f>N8+O8</f>
        <v/>
      </c>
      <c r="Q8" s="34">
        <f>O8*0.115</f>
        <v/>
      </c>
      <c r="R8" s="29" t="n">
        <v>900</v>
      </c>
      <c r="S8" s="12">
        <f>IF(M8=0,"Check rate",IF(O8&gt;0,"Calculated","Review"))</f>
        <v/>
      </c>
    </row>
    <row r="9">
      <c r="A9" s="3" t="inlineStr">
        <is>
          <t>EMP007</t>
        </is>
      </c>
      <c r="B9" s="4" t="inlineStr">
        <is>
          <t>Ethan Sullivan</t>
        </is>
      </c>
      <c r="C9" s="4" t="inlineStr">
        <is>
          <t>Warehouse Operator</t>
        </is>
      </c>
      <c r="D9" s="3" t="inlineStr">
        <is>
          <t>Newcastle</t>
        </is>
      </c>
      <c r="E9" s="3" t="inlineStr">
        <is>
          <t>Full-time</t>
        </is>
      </c>
      <c r="F9" s="29" t="n">
        <v>76200</v>
      </c>
      <c r="G9" s="3" t="n">
        <v>38</v>
      </c>
      <c r="H9" s="30">
        <f>IFERROR(F9/52/G9,0)</f>
        <v/>
      </c>
      <c r="I9" s="31" t="n">
        <v>46209</v>
      </c>
      <c r="J9" s="31" t="n">
        <v>46220</v>
      </c>
      <c r="K9" s="8">
        <f>IF(OR(I9="",J9=""),0,J9-I9+1)</f>
        <v/>
      </c>
      <c r="L9" s="32">
        <f>K9/5</f>
        <v/>
      </c>
      <c r="M9" s="33">
        <f>IFERROR(VLOOKUP(C9,Instructions!$B$8:$C$12,2,FALSE),VLOOKUP("Standard Default",Instructions!$B$8:$C$12,2,FALSE))</f>
        <v/>
      </c>
      <c r="N9" s="30">
        <f>H9*G9*L9</f>
        <v/>
      </c>
      <c r="O9" s="30">
        <f>N9*M9</f>
        <v/>
      </c>
      <c r="P9" s="30">
        <f>N9+O9</f>
        <v/>
      </c>
      <c r="Q9" s="30">
        <f>O9*0.115</f>
        <v/>
      </c>
      <c r="R9" s="29" t="n">
        <v>1250</v>
      </c>
      <c r="S9" s="8">
        <f>IF(M9=0,"Check rate",IF(O9&gt;0,"Calculated","Review"))</f>
        <v/>
      </c>
    </row>
    <row r="10">
      <c r="A10" s="3" t="inlineStr">
        <is>
          <t>EMP008</t>
        </is>
      </c>
      <c r="B10" s="4" t="inlineStr">
        <is>
          <t>Ruby Patterson</t>
        </is>
      </c>
      <c r="C10" s="4" t="inlineStr">
        <is>
          <t>Office Administrator</t>
        </is>
      </c>
      <c r="D10" s="3" t="inlineStr">
        <is>
          <t>Canberra</t>
        </is>
      </c>
      <c r="E10" s="3" t="inlineStr">
        <is>
          <t>Full-time</t>
        </is>
      </c>
      <c r="F10" s="29" t="n">
        <v>118000</v>
      </c>
      <c r="G10" s="3" t="n">
        <v>38</v>
      </c>
      <c r="H10" s="34">
        <f>IFERROR(F10/52/G10,0)</f>
        <v/>
      </c>
      <c r="I10" s="31" t="n">
        <v>46244</v>
      </c>
      <c r="J10" s="31" t="n">
        <v>46248</v>
      </c>
      <c r="K10" s="12">
        <f>IF(OR(I10="",J10=""),0,J10-I10+1)</f>
        <v/>
      </c>
      <c r="L10" s="35">
        <f>K10/5</f>
        <v/>
      </c>
      <c r="M10" s="36">
        <f>IFERROR(VLOOKUP(C10,Instructions!$B$8:$C$12,2,FALSE),VLOOKUP("Standard Default",Instructions!$B$8:$C$12,2,FALSE))</f>
        <v/>
      </c>
      <c r="N10" s="34">
        <f>H10*G10*L10</f>
        <v/>
      </c>
      <c r="O10" s="34">
        <f>N10*M10</f>
        <v/>
      </c>
      <c r="P10" s="34">
        <f>N10+O10</f>
        <v/>
      </c>
      <c r="Q10" s="34">
        <f>O10*0.115</f>
        <v/>
      </c>
      <c r="R10" s="29" t="n">
        <v>2100</v>
      </c>
      <c r="S10" s="12">
        <f>IF(M10=0,"Check rate",IF(O10&gt;0,"Calculated","Review"))</f>
        <v/>
      </c>
    </row>
    <row r="11">
      <c r="A11" s="3" t="inlineStr">
        <is>
          <t>EMP009</t>
        </is>
      </c>
      <c r="B11" s="4" t="inlineStr">
        <is>
          <t>Cooper Ellis</t>
        </is>
      </c>
      <c r="C11" s="4" t="inlineStr">
        <is>
          <t>Hospitality Worker</t>
        </is>
      </c>
      <c r="D11" s="3" t="inlineStr">
        <is>
          <t>Hobart</t>
        </is>
      </c>
      <c r="E11" s="3" t="inlineStr">
        <is>
          <t>Part-time</t>
        </is>
      </c>
      <c r="F11" s="29" t="n">
        <v>66500</v>
      </c>
      <c r="G11" s="3" t="n">
        <v>22</v>
      </c>
      <c r="H11" s="30">
        <f>IFERROR(F11/52/G11,0)</f>
        <v/>
      </c>
      <c r="I11" s="31" t="n">
        <v>46286</v>
      </c>
      <c r="J11" s="31" t="n">
        <v>46297</v>
      </c>
      <c r="K11" s="8">
        <f>IF(OR(I11="",J11=""),0,J11-I11+1)</f>
        <v/>
      </c>
      <c r="L11" s="32">
        <f>K11/5</f>
        <v/>
      </c>
      <c r="M11" s="33">
        <f>IFERROR(VLOOKUP(C11,Instructions!$B$8:$C$12,2,FALSE),VLOOKUP("Standard Default",Instructions!$B$8:$C$12,2,FALSE))</f>
        <v/>
      </c>
      <c r="N11" s="30">
        <f>H11*G11*L11</f>
        <v/>
      </c>
      <c r="O11" s="30">
        <f>N11*M11</f>
        <v/>
      </c>
      <c r="P11" s="30">
        <f>N11+O11</f>
        <v/>
      </c>
      <c r="Q11" s="30">
        <f>O11*0.115</f>
        <v/>
      </c>
      <c r="R11" s="29" t="n">
        <v>1000</v>
      </c>
      <c r="S11" s="8">
        <f>IF(M11=0,"Check rate",IF(O11&gt;0,"Calculated","Review"))</f>
        <v/>
      </c>
    </row>
    <row r="12">
      <c r="A12" s="3" t="inlineStr">
        <is>
          <t>EMP010</t>
        </is>
      </c>
      <c r="B12" s="4" t="inlineStr">
        <is>
          <t>Isla Morgan</t>
        </is>
      </c>
      <c r="C12" s="4" t="inlineStr">
        <is>
          <t>Office Administrator</t>
        </is>
      </c>
      <c r="D12" s="3" t="inlineStr">
        <is>
          <t>Wollongong</t>
        </is>
      </c>
      <c r="E12" s="3" t="inlineStr">
        <is>
          <t>Full-time</t>
        </is>
      </c>
      <c r="F12" s="29" t="n">
        <v>88500</v>
      </c>
      <c r="G12" s="3" t="n">
        <v>38</v>
      </c>
      <c r="H12" s="34">
        <f>IFERROR(F12/52/G12,0)</f>
        <v/>
      </c>
      <c r="I12" s="31" t="n">
        <v>46370</v>
      </c>
      <c r="J12" s="31" t="n">
        <v>46378</v>
      </c>
      <c r="K12" s="12">
        <f>IF(OR(I12="",J12=""),0,J12-I12+1)</f>
        <v/>
      </c>
      <c r="L12" s="35">
        <f>K12/5</f>
        <v/>
      </c>
      <c r="M12" s="36">
        <f>IFERROR(VLOOKUP(C12,Instructions!$B$8:$C$12,2,FALSE),VLOOKUP("Standard Default",Instructions!$B$8:$C$12,2,FALSE))</f>
        <v/>
      </c>
      <c r="N12" s="34">
        <f>H12*G12*L12</f>
        <v/>
      </c>
      <c r="O12" s="34">
        <f>N12*M12</f>
        <v/>
      </c>
      <c r="P12" s="34">
        <f>N12+O12</f>
        <v/>
      </c>
      <c r="Q12" s="34">
        <f>O12*0.115</f>
        <v/>
      </c>
      <c r="R12" s="29" t="n">
        <v>1600</v>
      </c>
      <c r="S12" s="12">
        <f>IF(M12=0,"Check rate",IF(O12&gt;0,"Calculated","Review"))</f>
        <v/>
      </c>
    </row>
  </sheetData>
  <mergeCells count="1">
    <mergeCell ref="A1:S1"/>
  </mergeCells>
  <conditionalFormatting sqref="O3:P12">
    <cfRule type="expression" priority="1" dxfId="0" stopIfTrue="1">
      <formula>O3&gt;0</formula>
    </cfRule>
  </conditionalFormatting>
  <conditionalFormatting sqref="S3:S12">
    <cfRule type="expression" priority="2" dxfId="1" stopIfTrue="1">
      <formula>$S3="Check rate"</formula>
    </cfRule>
  </conditionalFormatting>
  <conditionalFormatting sqref="I3:J12">
    <cfRule type="expression" priority="3" dxfId="1" stopIfTrue="1">
      <formula>ISBLANK(I3)</formula>
    </cfRule>
  </conditionalFormatting>
  <dataValidations count="1">
    <dataValidation sqref="E3:E12" showErrorMessage="1" showInputMessage="1" allowBlank="0" type="list">
      <formula1>"Full-time,Part-time"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5" customWidth="1" min="3" max="3"/>
    <col width="20" customWidth="1" min="4" max="4"/>
    <col width="20" customWidth="1" min="5" max="5"/>
  </cols>
  <sheetData>
    <row r="1" ht="24" customHeight="1">
      <c r="A1" s="1" t="inlineStr">
        <is>
          <t>Instructions — Annual Leave Loading Template (Australia)</t>
        </is>
      </c>
    </row>
    <row r="2"/>
    <row r="3" ht="28" customHeight="1">
      <c r="A3" s="15" t="inlineStr">
        <is>
          <t>• Annual leave loading is commonly 17.5%, but the applicable modern award, enterprise agreement, employment contract or workplace policy must be checked.</t>
        </is>
      </c>
    </row>
    <row r="4" ht="28" customHeight="1">
      <c r="A4" s="15" t="inlineStr">
        <is>
          <t>• Leave loading rules vary by industry and employee classification.</t>
        </is>
      </c>
    </row>
    <row r="5" ht="28" customHeight="1">
      <c r="A5" s="15" t="inlineStr">
        <is>
          <t>• Confirm whether loading is payable during the leave period and whether it attracts superannuation.</t>
        </is>
      </c>
    </row>
    <row r="6" ht="28" customHeight="1">
      <c r="A6" s="15" t="inlineStr">
        <is>
          <t>• The current superannuation guarantee rate used in the template is 11.5%; update it if legislation changes.</t>
        </is>
      </c>
    </row>
    <row r="7" ht="28" customHeight="1">
      <c r="A7" s="15" t="inlineStr">
        <is>
          <t>• Payroll teams should verify PAYG withholding, Fair Work obligations, award rates and ATO treatment before processing.</t>
        </is>
      </c>
    </row>
    <row r="8" ht="28" customHeight="1">
      <c r="A8" s="15" t="inlineStr">
        <is>
          <t>• Dates use Australian format: DD/MM/YYYY.</t>
        </is>
      </c>
    </row>
    <row r="9" ht="28" customHeight="1">
      <c r="A9" s="15" t="inlineStr">
        <is>
          <t>• Financial year reference: 1 July–30 June.</t>
        </is>
      </c>
    </row>
    <row r="10">
      <c r="B10" s="16" t="inlineStr">
        <is>
          <t>Hospitality Worker</t>
        </is>
      </c>
      <c r="C10" s="37" t="n">
        <v>0.175</v>
      </c>
    </row>
    <row r="11">
      <c r="B11" s="18" t="inlineStr">
        <is>
          <t>Warehouse Operator</t>
        </is>
      </c>
      <c r="C11" s="37" t="n">
        <v>0.175</v>
      </c>
    </row>
    <row r="12">
      <c r="B12" s="16" t="inlineStr">
        <is>
          <t>Standard Default</t>
        </is>
      </c>
      <c r="C12" s="37" t="n">
        <v>0.175</v>
      </c>
    </row>
    <row r="13"/>
    <row r="14">
      <c r="B14" s="19" t="inlineStr">
        <is>
          <t>Sheet guide:</t>
        </is>
      </c>
    </row>
    <row r="15" ht="30" customHeight="1">
      <c r="A15" s="15" t="inlineStr">
        <is>
          <t>• Leave Loading Calculator — enter employee details, salaries and leave dates in the pale yellow cells; all pay, loading and super figures calculate automatically.</t>
        </is>
      </c>
    </row>
    <row r="16" ht="30" customHeight="1">
      <c r="A16" s="15" t="inlineStr">
        <is>
          <t>• Summary Dashboard — key payroll metrics, location breakdown and charts refresh from the calculator.</t>
        </is>
      </c>
    </row>
    <row r="17" ht="30" customHeight="1">
      <c r="A17" s="15" t="inlineStr">
        <is>
          <t>• Loading Rate lookup (above) — edit the shaded rates to match your award or agreement; 'Standard Default' applies when no job title match is found.</t>
        </is>
      </c>
    </row>
  </sheetData>
  <mergeCells count="12">
    <mergeCell ref="A1:E1"/>
    <mergeCell ref="A3:E3"/>
    <mergeCell ref="A4:E4"/>
    <mergeCell ref="A5:E5"/>
    <mergeCell ref="A6:E6"/>
    <mergeCell ref="A7:E7"/>
    <mergeCell ref="A8:E8"/>
    <mergeCell ref="A9:E9"/>
    <mergeCell ref="B14:C14"/>
    <mergeCell ref="A15:E15"/>
    <mergeCell ref="A16:E16"/>
    <mergeCell ref="A17:E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24" customWidth="1" min="4" max="4"/>
    <col width="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Annual Leave Loading — Summary Dashboard 2026</t>
        </is>
      </c>
    </row>
    <row r="2"/>
    <row r="3">
      <c r="A3" s="20" t="inlineStr">
        <is>
          <t>Total employees</t>
        </is>
      </c>
      <c r="B3" s="21">
        <f>COUNTA('Leave Loading Calculator'!B3:B12)</f>
        <v/>
      </c>
    </row>
    <row r="4">
      <c r="A4" s="22" t="inlineStr">
        <is>
          <t>Total leave days</t>
        </is>
      </c>
      <c r="B4" s="23">
        <f>SUM('Leave Loading Calculator'!K3:K12)</f>
        <v/>
      </c>
    </row>
    <row r="5">
      <c r="A5" s="20" t="inlineStr">
        <is>
          <t>Total base leave pay</t>
        </is>
      </c>
      <c r="B5" s="38">
        <f>SUM('Leave Loading Calculator'!N3:N12)</f>
        <v/>
      </c>
    </row>
    <row r="6">
      <c r="A6" s="22" t="inlineStr">
        <is>
          <t>Total leave loading</t>
        </is>
      </c>
      <c r="B6" s="34">
        <f>SUM('Leave Loading Calculator'!O3:O12)</f>
        <v/>
      </c>
    </row>
    <row r="7">
      <c r="A7" s="20" t="inlineStr">
        <is>
          <t>Total leave payments</t>
        </is>
      </c>
      <c r="B7" s="38">
        <f>SUM('Leave Loading Calculator'!P3:P12)</f>
        <v/>
      </c>
    </row>
    <row r="8">
      <c r="A8" s="22" t="inlineStr">
        <is>
          <t>Average loading per employee</t>
        </is>
      </c>
      <c r="B8" s="34">
        <f>IFERROR(AVERAGE('Leave Loading Calculator'!O3:O12),0)</f>
        <v/>
      </c>
    </row>
    <row r="9">
      <c r="A9" s="20" t="inlineStr">
        <is>
          <t>Employees receiving loading</t>
        </is>
      </c>
      <c r="B9" s="21">
        <f>COUNTIF('Leave Loading Calculator'!O3:O12,"&gt;0")</f>
        <v/>
      </c>
    </row>
    <row r="10">
      <c r="A10" s="22" t="inlineStr">
        <is>
          <t>Loading as % of total leave payments</t>
        </is>
      </c>
      <c r="B10" s="39">
        <f>IF(B7=0,0,B6/B7)</f>
        <v/>
      </c>
    </row>
    <row r="11"/>
    <row r="12">
      <c r="A12" s="26" t="inlineStr">
        <is>
          <t>Location Summary</t>
        </is>
      </c>
    </row>
    <row r="13">
      <c r="A13" s="2" t="inlineStr">
        <is>
          <t>Location</t>
        </is>
      </c>
      <c r="B13" s="2" t="inlineStr">
        <is>
          <t>Employees</t>
        </is>
      </c>
      <c r="C13" s="2" t="inlineStr">
        <is>
          <t>Total Leave Loading ($)</t>
        </is>
      </c>
      <c r="D13" s="2" t="inlineStr">
        <is>
          <t>Total Leave Payment ($)</t>
        </is>
      </c>
    </row>
    <row r="14">
      <c r="A14" s="16" t="inlineStr">
        <is>
          <t>Sydney</t>
        </is>
      </c>
      <c r="B14" s="8">
        <f>COUNTIF('Leave Loading Calculator'!D3:D12,A14)</f>
        <v/>
      </c>
      <c r="C14" s="30">
        <f>SUMIF('Leave Loading Calculator'!D3:D12,A14,'Leave Loading Calculator'!O3:O12)</f>
        <v/>
      </c>
      <c r="D14" s="30">
        <f>SUMIF('Leave Loading Calculator'!D3:D12,A14,'Leave Loading Calculator'!P3:P12)</f>
        <v/>
      </c>
    </row>
    <row r="15">
      <c r="A15" s="18" t="inlineStr">
        <is>
          <t>Melbourne</t>
        </is>
      </c>
      <c r="B15" s="12">
        <f>COUNTIF('Leave Loading Calculator'!D3:D12,A15)</f>
        <v/>
      </c>
      <c r="C15" s="34">
        <f>SUMIF('Leave Loading Calculator'!D3:D12,A15,'Leave Loading Calculator'!O3:O12)</f>
        <v/>
      </c>
      <c r="D15" s="34">
        <f>SUMIF('Leave Loading Calculator'!D3:D12,A15,'Leave Loading Calculator'!P3:P12)</f>
        <v/>
      </c>
    </row>
    <row r="16">
      <c r="A16" s="16" t="inlineStr">
        <is>
          <t>Brisbane</t>
        </is>
      </c>
      <c r="B16" s="8">
        <f>COUNTIF('Leave Loading Calculator'!D3:D12,A16)</f>
        <v/>
      </c>
      <c r="C16" s="30">
        <f>SUMIF('Leave Loading Calculator'!D3:D12,A16,'Leave Loading Calculator'!O3:O12)</f>
        <v/>
      </c>
      <c r="D16" s="30">
        <f>SUMIF('Leave Loading Calculator'!D3:D12,A16,'Leave Loading Calculator'!P3:P12)</f>
        <v/>
      </c>
    </row>
    <row r="17">
      <c r="A17" s="18" t="inlineStr">
        <is>
          <t>Perth</t>
        </is>
      </c>
      <c r="B17" s="12">
        <f>COUNTIF('Leave Loading Calculator'!D3:D12,A17)</f>
        <v/>
      </c>
      <c r="C17" s="34">
        <f>SUMIF('Leave Loading Calculator'!D3:D12,A17,'Leave Loading Calculator'!O3:O12)</f>
        <v/>
      </c>
      <c r="D17" s="34">
        <f>SUMIF('Leave Loading Calculator'!D3:D12,A17,'Leave Loading Calculator'!P3:P12)</f>
        <v/>
      </c>
    </row>
    <row r="18">
      <c r="A18" s="16" t="inlineStr">
        <is>
          <t>Adelaide</t>
        </is>
      </c>
      <c r="B18" s="8">
        <f>COUNTIF('Leave Loading Calculator'!D3:D12,A18)</f>
        <v/>
      </c>
      <c r="C18" s="30">
        <f>SUMIF('Leave Loading Calculator'!D3:D12,A18,'Leave Loading Calculator'!O3:O12)</f>
        <v/>
      </c>
      <c r="D18" s="30">
        <f>SUMIF('Leave Loading Calculator'!D3:D12,A18,'Leave Loading Calculator'!P3:P12)</f>
        <v/>
      </c>
    </row>
    <row r="19">
      <c r="A19" s="18" t="inlineStr">
        <is>
          <t>Gold Coast</t>
        </is>
      </c>
      <c r="B19" s="12">
        <f>COUNTIF('Leave Loading Calculator'!D3:D12,A19)</f>
        <v/>
      </c>
      <c r="C19" s="34">
        <f>SUMIF('Leave Loading Calculator'!D3:D12,A19,'Leave Loading Calculator'!O3:O12)</f>
        <v/>
      </c>
      <c r="D19" s="34">
        <f>SUMIF('Leave Loading Calculator'!D3:D12,A19,'Leave Loading Calculator'!P3:P12)</f>
        <v/>
      </c>
    </row>
    <row r="20">
      <c r="A20" s="16" t="inlineStr">
        <is>
          <t>Newcastle</t>
        </is>
      </c>
      <c r="B20" s="8">
        <f>COUNTIF('Leave Loading Calculator'!D3:D12,A20)</f>
        <v/>
      </c>
      <c r="C20" s="30">
        <f>SUMIF('Leave Loading Calculator'!D3:D12,A20,'Leave Loading Calculator'!O3:O12)</f>
        <v/>
      </c>
      <c r="D20" s="30">
        <f>SUMIF('Leave Loading Calculator'!D3:D12,A20,'Leave Loading Calculator'!P3:P12)</f>
        <v/>
      </c>
    </row>
    <row r="21">
      <c r="A21" s="18" t="inlineStr">
        <is>
          <t>Canberra</t>
        </is>
      </c>
      <c r="B21" s="12">
        <f>COUNTIF('Leave Loading Calculator'!D3:D12,A21)</f>
        <v/>
      </c>
      <c r="C21" s="34">
        <f>SUMIF('Leave Loading Calculator'!D3:D12,A21,'Leave Loading Calculator'!O3:O12)</f>
        <v/>
      </c>
      <c r="D21" s="34">
        <f>SUMIF('Leave Loading Calculator'!D3:D12,A21,'Leave Loading Calculator'!P3:P12)</f>
        <v/>
      </c>
    </row>
    <row r="22">
      <c r="A22" s="16" t="inlineStr">
        <is>
          <t>Hobart</t>
        </is>
      </c>
      <c r="B22" s="8">
        <f>COUNTIF('Leave Loading Calculator'!D3:D12,A22)</f>
        <v/>
      </c>
      <c r="C22" s="30">
        <f>SUMIF('Leave Loading Calculator'!D3:D12,A22,'Leave Loading Calculator'!O3:O12)</f>
        <v/>
      </c>
      <c r="D22" s="30">
        <f>SUMIF('Leave Loading Calculator'!D3:D12,A22,'Leave Loading Calculator'!P3:P12)</f>
        <v/>
      </c>
    </row>
    <row r="23">
      <c r="A23" s="18" t="inlineStr">
        <is>
          <t>Wollongong</t>
        </is>
      </c>
      <c r="B23" s="12">
        <f>COUNTIF('Leave Loading Calculator'!D3:D12,A23)</f>
        <v/>
      </c>
      <c r="C23" s="34">
        <f>SUMIF('Leave Loading Calculator'!D3:D12,A23,'Leave Loading Calculator'!O3:O12)</f>
        <v/>
      </c>
      <c r="D23" s="34">
        <f>SUMIF('Leave Loading Calculator'!D3:D12,A23,'Leave Loading Calculator'!P3:P12)</f>
        <v/>
      </c>
    </row>
    <row r="24"/>
    <row r="25"/>
    <row r="26">
      <c r="A26" t="inlineStr">
        <is>
          <t>Base leave pay</t>
        </is>
      </c>
      <c r="B26" s="40">
        <f>B5</f>
        <v/>
      </c>
    </row>
    <row r="27">
      <c r="A27" t="inlineStr">
        <is>
          <t>Leave loading</t>
        </is>
      </c>
      <c r="B27" s="40">
        <f>B6</f>
        <v/>
      </c>
    </row>
  </sheetData>
  <mergeCells count="2">
    <mergeCell ref="A1:H1"/>
    <mergeCell ref="A12:D1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2026-08-01T03:41:02Z</dcterms:created>
  <dcterms:modified xmlns:dcterms="http://purl.org/dc/terms/" xmlns:xsi="http://www.w3.org/2001/XMLSchema-instance" xsi:type="dcterms:W3CDTF">2026-08-01T03:41:02Z</dcterms:modified>
</cp:coreProperties>
</file>