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 Calculator" sheetId="1" state="visible" r:id="rId1"/>
    <sheet xmlns:r="http://schemas.openxmlformats.org/officeDocument/2006/relationships" name="Employees" sheetId="2" state="visible" r:id="rId2"/>
    <sheet xmlns:r="http://schemas.openxmlformats.org/officeDocument/2006/relationships" name="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"/>
  </numFmts>
  <fonts count="7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  <font>
      <b val="1"/>
      <color rgb="00FFFFFF"/>
      <sz val="10"/>
    </font>
    <font>
      <i val="1"/>
      <color rgb="00475569"/>
      <sz val="9"/>
    </font>
    <font>
      <b val="1"/>
      <color rgb="001E293B"/>
      <sz val="12"/>
    </font>
    <font>
      <b val="1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006A4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9" fontId="0" fillId="0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/>
    </xf>
    <xf numFmtId="9" fontId="0" fillId="4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5" borderId="1" pivotButton="0" quotePrefix="0" xfId="0"/>
    <xf numFmtId="165" fontId="3" fillId="5" borderId="1" pivotButton="0" quotePrefix="0" xfId="0"/>
    <xf numFmtId="0" fontId="4" fillId="0" borderId="0" pivotButton="0" quotePrefix="0" xfId="0"/>
    <xf numFmtId="0" fontId="1" fillId="0" borderId="0" pivotButton="0" quotePrefix="0" xfId="0"/>
    <xf numFmtId="165" fontId="0" fillId="3" borderId="1" applyAlignment="1" pivotButton="0" quotePrefix="0" xfId="0">
      <alignment horizontal="center" vertical="center"/>
    </xf>
    <xf numFmtId="9" fontId="0" fillId="3" borderId="1" applyAlignment="1" pivotButton="0" quotePrefix="0" xfId="0">
      <alignment horizontal="center" vertical="center"/>
    </xf>
    <xf numFmtId="0" fontId="5" fillId="0" borderId="0" pivotButton="0" quotePrefix="0" xfId="0"/>
    <xf numFmtId="0" fontId="6" fillId="0" borderId="1" pivotButton="0" quotePrefix="0" xfId="0"/>
    <xf numFmtId="9" fontId="0" fillId="3" borderId="1" pivotButton="0" quotePrefix="0" xfId="0"/>
    <xf numFmtId="0" fontId="0" fillId="3" borderId="1" pivotButton="0" quotePrefix="0" xfId="0"/>
    <xf numFmtId="165" fontId="0" fillId="0" borderId="1" pivotButton="0" quotePrefix="0" xfId="0"/>
    <xf numFmtId="0" fontId="6" fillId="4" borderId="1" pivotButton="0" quotePrefix="0" xfId="0"/>
    <xf numFmtId="165" fontId="0" fillId="4" borderId="1" pivotButton="0" quotePrefix="0" xfId="0"/>
    <xf numFmtId="166" fontId="0" fillId="0" borderId="1" pivotButton="0" quotePrefix="0" xfId="0"/>
    <xf numFmtId="166" fontId="0" fillId="4" borderId="1" pivotButton="0" quotePrefix="0" xfId="0"/>
    <xf numFmtId="1" fontId="0" fillId="4" borderId="1" pivotButton="0" quotePrefix="0" xfId="0"/>
    <xf numFmtId="0" fontId="0" fillId="4" borderId="1" pivotButton="0" quotePrefix="0" xfId="0"/>
    <xf numFmtId="164" fontId="0" fillId="3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5" fontId="3" fillId="5" borderId="1" pivotButton="0" quotePrefix="0" xfId="0"/>
    <xf numFmtId="165" fontId="0" fillId="3" borderId="1" applyAlignment="1" pivotButton="0" quotePrefix="0" xfId="0">
      <alignment horizontal="center" vertical="center"/>
    </xf>
    <xf numFmtId="165" fontId="0" fillId="0" borderId="1" pivotButton="0" quotePrefix="0" xfId="0"/>
    <xf numFmtId="165" fontId="0" fillId="4" borderId="1" pivotButton="0" quotePrefix="0" xfId="0"/>
    <xf numFmtId="166" fontId="0" fillId="0" borderId="1" pivotButton="0" quotePrefix="0" xfId="0"/>
    <xf numFmtId="166" fontId="0" fillId="4" borderId="1" pivotButton="0" quotePrefix="0" xfId="0"/>
  </cellXfs>
  <cellStyles count="1">
    <cellStyle name="Normal" xfId="0" builtinId="0" hidden="0"/>
  </cellStyles>
  <dxfs count="2"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Pay by Employee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'Pay Calculator'!O2</f>
            </strRef>
          </tx>
          <spPr>
            <a:solidFill xmlns:a="http://schemas.openxmlformats.org/drawingml/2006/main">
              <a:srgbClr val="006A4E"/>
            </a:solidFill>
            <a:ln xmlns:a="http://schemas.openxmlformats.org/drawingml/2006/main">
              <a:prstDash val="solid"/>
            </a:ln>
          </spPr>
          <cat>
            <numRef>
              <f>'Pay Calculator'!$C$3:$C$12</f>
            </numRef>
          </cat>
          <val>
            <numRef>
              <f>'Pay Calculator'!$O$3:$O$12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$#,##0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Employer Cost Split: Gross Pay vs Super</a:t>
            </a:r>
          </a:p>
        </rich>
      </tx>
    </title>
    <plotArea>
      <pieChart>
        <varyColors val="1"/>
        <ser>
          <idx val="0"/>
          <order val="0"/>
          <tx>
            <strRef>
              <f>'Summary'!G28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'Summary'!$F$29:$F$30</f>
            </numRef>
          </cat>
          <val>
            <numRef>
              <f>'Summary'!$G$29:$G$30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Gross Pay by Location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'Summary'!C15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'Summary'!$A$16:$A$25</f>
            </numRef>
          </cat>
          <val>
            <numRef>
              <f>'Summary'!$C$16:$C$25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numFmt formatCode="$#,##0" sourceLinked="0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36</row>
      <rowOff>0</rowOff>
    </from>
    <ext cx="576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13" customWidth="1" min="4" max="4"/>
    <col width="22" customWidth="1" min="5" max="5"/>
    <col width="14" customWidth="1" min="6" max="6"/>
    <col width="14" customWidth="1" min="7" max="7"/>
    <col width="11" customWidth="1" min="8" max="8"/>
    <col width="11" customWidth="1" min="9" max="9"/>
    <col width="13" customWidth="1" min="10" max="10"/>
    <col width="12" customWidth="1" min="11" max="11"/>
    <col width="12" customWidth="1" min="12" max="12"/>
    <col width="13" customWidth="1" min="13" max="13"/>
    <col width="13" customWidth="1" min="14" max="14"/>
    <col width="13" customWidth="1" min="15" max="15"/>
    <col width="12" customWidth="1" min="16" max="16"/>
    <col width="14" customWidth="1" min="17" max="17"/>
    <col width="16" customWidth="1" min="18" max="18"/>
    <col width="16" customWidth="1" min="19" max="19"/>
    <col width="13" customWidth="1" min="20" max="20"/>
    <col width="30" customWidth="1" min="21" max="21"/>
  </cols>
  <sheetData>
    <row r="1">
      <c r="A1" s="1" t="inlineStr">
        <is>
          <t>Casual Loading Pay Calculator — Australia (2026)</t>
        </is>
      </c>
    </row>
    <row r="2">
      <c r="A2" s="2" t="inlineStr">
        <is>
          <t>Pay Date</t>
        </is>
      </c>
      <c r="B2" s="2" t="inlineStr">
        <is>
          <t>Employee ID</t>
        </is>
      </c>
      <c r="C2" s="2" t="inlineStr">
        <is>
          <t>Employee Name</t>
        </is>
      </c>
      <c r="D2" s="2" t="inlineStr">
        <is>
          <t>Location</t>
        </is>
      </c>
      <c r="E2" s="2" t="inlineStr">
        <is>
          <t>Job Role</t>
        </is>
      </c>
      <c r="F2" s="2" t="inlineStr">
        <is>
          <t>Pay Period Start</t>
        </is>
      </c>
      <c r="G2" s="2" t="inlineStr">
        <is>
          <t>Pay Period End</t>
        </is>
      </c>
      <c r="H2" s="2" t="inlineStr">
        <is>
          <t>Ordinary Hours</t>
        </is>
      </c>
      <c r="I2" s="2" t="inlineStr">
        <is>
          <t>Overtime Hours</t>
        </is>
      </c>
      <c r="J2" s="2" t="inlineStr">
        <is>
          <t>Base Hourly Rate</t>
        </is>
      </c>
      <c r="K2" s="2" t="inlineStr">
        <is>
          <t>Casual Loading %</t>
        </is>
      </c>
      <c r="L2" s="2" t="inlineStr">
        <is>
          <t>Overtime Multiplier</t>
        </is>
      </c>
      <c r="M2" s="2" t="inlineStr">
        <is>
          <t>Ordinary Pay</t>
        </is>
      </c>
      <c r="N2" s="2" t="inlineStr">
        <is>
          <t>Overtime Pay</t>
        </is>
      </c>
      <c r="O2" s="2" t="inlineStr">
        <is>
          <t>Gross Pay</t>
        </is>
      </c>
      <c r="P2" s="2" t="inlineStr">
        <is>
          <t>Superannuation Rate</t>
        </is>
      </c>
      <c r="Q2" s="2" t="inlineStr">
        <is>
          <t>Superannuation</t>
        </is>
      </c>
      <c r="R2" s="2" t="inlineStr">
        <is>
          <t>Estimated Total Employer Cost</t>
        </is>
      </c>
      <c r="S2" s="2" t="inlineStr">
        <is>
          <t>PAYG Withholding Estimate</t>
        </is>
      </c>
      <c r="T2" s="2" t="inlineStr">
        <is>
          <t>Net Pay Estimate</t>
        </is>
      </c>
      <c r="U2" s="2" t="inlineStr">
        <is>
          <t>Notes</t>
        </is>
      </c>
    </row>
    <row r="3">
      <c r="A3" s="32" t="n">
        <v>46037</v>
      </c>
      <c r="B3" s="4" t="inlineStr">
        <is>
          <t>EMP001</t>
        </is>
      </c>
      <c r="C3" s="5" t="inlineStr">
        <is>
          <t>Jack Thompson</t>
        </is>
      </c>
      <c r="D3" s="5" t="inlineStr">
        <is>
          <t>Sydney</t>
        </is>
      </c>
      <c r="E3" s="5" t="inlineStr">
        <is>
          <t>Retail Assistant</t>
        </is>
      </c>
      <c r="F3" s="32" t="n">
        <v>46024</v>
      </c>
      <c r="G3" s="32" t="n">
        <v>46036</v>
      </c>
      <c r="H3" s="6" t="n">
        <v>38</v>
      </c>
      <c r="I3" s="6" t="n">
        <v>4</v>
      </c>
      <c r="J3" s="33">
        <f>IFERROR(VLOOKUP(C3,Employees!$A$2:$H$11,6,FALSE),0)</f>
        <v/>
      </c>
      <c r="K3" s="8">
        <f>IFERROR(VLOOKUP(C3,Employees!$A$2:$H$11,7,FALSE),0)</f>
        <v/>
      </c>
      <c r="L3" s="6" t="n">
        <v>1.5</v>
      </c>
      <c r="M3" s="33">
        <f>H3*J3*(1+K3)</f>
        <v/>
      </c>
      <c r="N3" s="33">
        <f>I3*J3*L3*(1+K3)</f>
        <v/>
      </c>
      <c r="O3" s="33">
        <f>M3+N3</f>
        <v/>
      </c>
      <c r="P3" s="8" t="n">
        <v>0.12</v>
      </c>
      <c r="Q3" s="33">
        <f>O3*P3</f>
        <v/>
      </c>
      <c r="R3" s="33">
        <f>O3+Q3</f>
        <v/>
      </c>
      <c r="S3" s="33">
        <f>O3*0.05</f>
        <v/>
      </c>
      <c r="T3" s="33">
        <f>O3-S3</f>
        <v/>
      </c>
      <c r="U3" s="9" t="inlineStr">
        <is>
          <t>Weekend shift cover</t>
        </is>
      </c>
    </row>
    <row r="4">
      <c r="A4" s="32" t="n">
        <v>46065</v>
      </c>
      <c r="B4" s="10" t="inlineStr">
        <is>
          <t>EMP002</t>
        </is>
      </c>
      <c r="C4" s="11" t="inlineStr">
        <is>
          <t>Olivia Martin</t>
        </is>
      </c>
      <c r="D4" s="11" t="inlineStr">
        <is>
          <t>Melbourne</t>
        </is>
      </c>
      <c r="E4" s="11" t="inlineStr">
        <is>
          <t>Barista</t>
        </is>
      </c>
      <c r="F4" s="32" t="n">
        <v>46052</v>
      </c>
      <c r="G4" s="32" t="n">
        <v>46064</v>
      </c>
      <c r="H4" s="6" t="n">
        <v>30</v>
      </c>
      <c r="I4" s="6" t="n">
        <v>0</v>
      </c>
      <c r="J4" s="34">
        <f>IFERROR(VLOOKUP(C4,Employees!$A$2:$H$11,6,FALSE),0)</f>
        <v/>
      </c>
      <c r="K4" s="13">
        <f>IFERROR(VLOOKUP(C4,Employees!$A$2:$H$11,7,FALSE),0)</f>
        <v/>
      </c>
      <c r="L4" s="6" t="n">
        <v>1.5</v>
      </c>
      <c r="M4" s="34">
        <f>H4*J4*(1+K4)</f>
        <v/>
      </c>
      <c r="N4" s="34">
        <f>I4*J4*L4*(1+K4)</f>
        <v/>
      </c>
      <c r="O4" s="34">
        <f>M4+N4</f>
        <v/>
      </c>
      <c r="P4" s="13" t="n">
        <v>0.12</v>
      </c>
      <c r="Q4" s="34">
        <f>O4*P4</f>
        <v/>
      </c>
      <c r="R4" s="34">
        <f>O4+Q4</f>
        <v/>
      </c>
      <c r="S4" s="34">
        <f>O4*0.05</f>
        <v/>
      </c>
      <c r="T4" s="34">
        <f>O4-S4</f>
        <v/>
      </c>
      <c r="U4" s="9" t="inlineStr"/>
    </row>
    <row r="5">
      <c r="A5" s="32" t="n">
        <v>46079</v>
      </c>
      <c r="B5" s="4" t="inlineStr">
        <is>
          <t>EMP003</t>
        </is>
      </c>
      <c r="C5" s="5" t="inlineStr">
        <is>
          <t>Liam Walker</t>
        </is>
      </c>
      <c r="D5" s="5" t="inlineStr">
        <is>
          <t>Brisbane</t>
        </is>
      </c>
      <c r="E5" s="5" t="inlineStr">
        <is>
          <t>Warehouse Assistant</t>
        </is>
      </c>
      <c r="F5" s="32" t="n">
        <v>46066</v>
      </c>
      <c r="G5" s="32" t="n">
        <v>46078</v>
      </c>
      <c r="H5" s="6" t="n">
        <v>32</v>
      </c>
      <c r="I5" s="6" t="n">
        <v>3</v>
      </c>
      <c r="J5" s="33">
        <f>IFERROR(VLOOKUP(C5,Employees!$A$2:$H$11,6,FALSE),0)</f>
        <v/>
      </c>
      <c r="K5" s="8">
        <f>IFERROR(VLOOKUP(C5,Employees!$A$2:$H$11,7,FALSE),0)</f>
        <v/>
      </c>
      <c r="L5" s="6" t="n">
        <v>1.5</v>
      </c>
      <c r="M5" s="33">
        <f>H5*J5*(1+K5)</f>
        <v/>
      </c>
      <c r="N5" s="33">
        <f>I5*J5*L5*(1+K5)</f>
        <v/>
      </c>
      <c r="O5" s="33">
        <f>M5+N5</f>
        <v/>
      </c>
      <c r="P5" s="8" t="n">
        <v>0.12</v>
      </c>
      <c r="Q5" s="33">
        <f>O5*P5</f>
        <v/>
      </c>
      <c r="R5" s="33">
        <f>O5+Q5</f>
        <v/>
      </c>
      <c r="S5" s="33">
        <f>O5*0.05</f>
        <v/>
      </c>
      <c r="T5" s="33">
        <f>O5-S5</f>
        <v/>
      </c>
      <c r="U5" s="9" t="inlineStr">
        <is>
          <t>Stocktake week</t>
        </is>
      </c>
    </row>
    <row r="6">
      <c r="A6" s="32" t="n">
        <v>46093</v>
      </c>
      <c r="B6" s="10" t="inlineStr">
        <is>
          <t>EMP004</t>
        </is>
      </c>
      <c r="C6" s="11" t="inlineStr">
        <is>
          <t>Charlotte Lee</t>
        </is>
      </c>
      <c r="D6" s="11" t="inlineStr">
        <is>
          <t>Perth</t>
        </is>
      </c>
      <c r="E6" s="11" t="inlineStr">
        <is>
          <t>Hospitality Attendant</t>
        </is>
      </c>
      <c r="F6" s="32" t="n">
        <v>46080</v>
      </c>
      <c r="G6" s="32" t="n">
        <v>46092</v>
      </c>
      <c r="H6" s="6" t="n">
        <v>24</v>
      </c>
      <c r="I6" s="6" t="n">
        <v>2</v>
      </c>
      <c r="J6" s="34">
        <f>IFERROR(VLOOKUP(C6,Employees!$A$2:$H$11,6,FALSE),0)</f>
        <v/>
      </c>
      <c r="K6" s="13">
        <f>IFERROR(VLOOKUP(C6,Employees!$A$2:$H$11,7,FALSE),0)</f>
        <v/>
      </c>
      <c r="L6" s="6" t="n">
        <v>1.75</v>
      </c>
      <c r="M6" s="34">
        <f>H6*J6*(1+K6)</f>
        <v/>
      </c>
      <c r="N6" s="34">
        <f>I6*J6*L6*(1+K6)</f>
        <v/>
      </c>
      <c r="O6" s="34">
        <f>M6+N6</f>
        <v/>
      </c>
      <c r="P6" s="13" t="n">
        <v>0.12</v>
      </c>
      <c r="Q6" s="34">
        <f>O6*P6</f>
        <v/>
      </c>
      <c r="R6" s="34">
        <f>O6+Q6</f>
        <v/>
      </c>
      <c r="S6" s="34">
        <f>O6*0.05</f>
        <v/>
      </c>
      <c r="T6" s="34">
        <f>O6-S6</f>
        <v/>
      </c>
      <c r="U6" s="9" t="inlineStr">
        <is>
          <t>Public holiday prep</t>
        </is>
      </c>
    </row>
    <row r="7">
      <c r="A7" s="32" t="n">
        <v>46121</v>
      </c>
      <c r="B7" s="4" t="inlineStr">
        <is>
          <t>EMP005</t>
        </is>
      </c>
      <c r="C7" s="5" t="inlineStr">
        <is>
          <t>Noah Harris</t>
        </is>
      </c>
      <c r="D7" s="5" t="inlineStr">
        <is>
          <t>Adelaide</t>
        </is>
      </c>
      <c r="E7" s="5" t="inlineStr">
        <is>
          <t>Retail Assistant</t>
        </is>
      </c>
      <c r="F7" s="32" t="n">
        <v>46108</v>
      </c>
      <c r="G7" s="32" t="n">
        <v>46120</v>
      </c>
      <c r="H7" s="6" t="n">
        <v>20</v>
      </c>
      <c r="I7" s="6" t="n">
        <v>0</v>
      </c>
      <c r="J7" s="33">
        <f>IFERROR(VLOOKUP(C7,Employees!$A$2:$H$11,6,FALSE),0)</f>
        <v/>
      </c>
      <c r="K7" s="8">
        <f>IFERROR(VLOOKUP(C7,Employees!$A$2:$H$11,7,FALSE),0)</f>
        <v/>
      </c>
      <c r="L7" s="6" t="n">
        <v>1.5</v>
      </c>
      <c r="M7" s="33">
        <f>H7*J7*(1+K7)</f>
        <v/>
      </c>
      <c r="N7" s="33">
        <f>I7*J7*L7*(1+K7)</f>
        <v/>
      </c>
      <c r="O7" s="33">
        <f>M7+N7</f>
        <v/>
      </c>
      <c r="P7" s="8" t="n">
        <v>0.12</v>
      </c>
      <c r="Q7" s="33">
        <f>O7*P7</f>
        <v/>
      </c>
      <c r="R7" s="33">
        <f>O7+Q7</f>
        <v/>
      </c>
      <c r="S7" s="33">
        <f>O7*0.05</f>
        <v/>
      </c>
      <c r="T7" s="33">
        <f>O7-S7</f>
        <v/>
      </c>
      <c r="U7" s="9" t="inlineStr"/>
    </row>
    <row r="8">
      <c r="A8" s="32" t="n">
        <v>46135</v>
      </c>
      <c r="B8" s="10" t="inlineStr">
        <is>
          <t>EMP006</t>
        </is>
      </c>
      <c r="C8" s="11" t="inlineStr">
        <is>
          <t>Mia Clark</t>
        </is>
      </c>
      <c r="D8" s="11" t="inlineStr">
        <is>
          <t>Gold Coast</t>
        </is>
      </c>
      <c r="E8" s="11" t="inlineStr">
        <is>
          <t>Barista</t>
        </is>
      </c>
      <c r="F8" s="32" t="n">
        <v>46122</v>
      </c>
      <c r="G8" s="32" t="n">
        <v>46134</v>
      </c>
      <c r="H8" s="6" t="n">
        <v>28</v>
      </c>
      <c r="I8" s="6" t="n">
        <v>5</v>
      </c>
      <c r="J8" s="34">
        <f>IFERROR(VLOOKUP(C8,Employees!$A$2:$H$11,6,FALSE),0)</f>
        <v/>
      </c>
      <c r="K8" s="13">
        <f>IFERROR(VLOOKUP(C8,Employees!$A$2:$H$11,7,FALSE),0)</f>
        <v/>
      </c>
      <c r="L8" s="6" t="n">
        <v>1.5</v>
      </c>
      <c r="M8" s="34">
        <f>H8*J8*(1+K8)</f>
        <v/>
      </c>
      <c r="N8" s="34">
        <f>I8*J8*L8*(1+K8)</f>
        <v/>
      </c>
      <c r="O8" s="34">
        <f>M8+N8</f>
        <v/>
      </c>
      <c r="P8" s="13" t="n">
        <v>0.12</v>
      </c>
      <c r="Q8" s="34">
        <f>O8*P8</f>
        <v/>
      </c>
      <c r="R8" s="34">
        <f>O8+Q8</f>
        <v/>
      </c>
      <c r="S8" s="34">
        <f>O8*0.05</f>
        <v/>
      </c>
      <c r="T8" s="34">
        <f>O8-S8</f>
        <v/>
      </c>
      <c r="U8" s="9" t="inlineStr">
        <is>
          <t>School holiday trade</t>
        </is>
      </c>
    </row>
    <row r="9">
      <c r="A9" s="32" t="n">
        <v>46163</v>
      </c>
      <c r="B9" s="4" t="inlineStr">
        <is>
          <t>EMP007</t>
        </is>
      </c>
      <c r="C9" s="5" t="inlineStr">
        <is>
          <t>Ethan Lewis</t>
        </is>
      </c>
      <c r="D9" s="5" t="inlineStr">
        <is>
          <t>Newcastle</t>
        </is>
      </c>
      <c r="E9" s="5" t="inlineStr">
        <is>
          <t>Administration Assistant</t>
        </is>
      </c>
      <c r="F9" s="32" t="n">
        <v>46150</v>
      </c>
      <c r="G9" s="32" t="n">
        <v>46162</v>
      </c>
      <c r="H9" s="6" t="n">
        <v>30</v>
      </c>
      <c r="I9" s="6" t="n">
        <v>0</v>
      </c>
      <c r="J9" s="33">
        <f>IFERROR(VLOOKUP(C9,Employees!$A$2:$H$11,6,FALSE),0)</f>
        <v/>
      </c>
      <c r="K9" s="8">
        <f>IFERROR(VLOOKUP(C9,Employees!$A$2:$H$11,7,FALSE),0)</f>
        <v/>
      </c>
      <c r="L9" s="6" t="n">
        <v>1.5</v>
      </c>
      <c r="M9" s="33">
        <f>H9*J9*(1+K9)</f>
        <v/>
      </c>
      <c r="N9" s="33">
        <f>I9*J9*L9*(1+K9)</f>
        <v/>
      </c>
      <c r="O9" s="33">
        <f>M9+N9</f>
        <v/>
      </c>
      <c r="P9" s="8" t="n">
        <v>0.12</v>
      </c>
      <c r="Q9" s="33">
        <f>O9*P9</f>
        <v/>
      </c>
      <c r="R9" s="33">
        <f>O9+Q9</f>
        <v/>
      </c>
      <c r="S9" s="33">
        <f>O9*0.05</f>
        <v/>
      </c>
      <c r="T9" s="33">
        <f>O9-S9</f>
        <v/>
      </c>
      <c r="U9" s="9" t="inlineStr"/>
    </row>
    <row r="10">
      <c r="A10" s="32" t="n">
        <v>46191</v>
      </c>
      <c r="B10" s="10" t="inlineStr">
        <is>
          <t>EMP008</t>
        </is>
      </c>
      <c r="C10" s="11" t="inlineStr">
        <is>
          <t>Ruby Young</t>
        </is>
      </c>
      <c r="D10" s="11" t="inlineStr">
        <is>
          <t>Canberra</t>
        </is>
      </c>
      <c r="E10" s="11" t="inlineStr">
        <is>
          <t>Administration Assistant</t>
        </is>
      </c>
      <c r="F10" s="32" t="n">
        <v>46178</v>
      </c>
      <c r="G10" s="32" t="n">
        <v>46190</v>
      </c>
      <c r="H10" s="6" t="n">
        <v>32</v>
      </c>
      <c r="I10" s="6" t="n">
        <v>2</v>
      </c>
      <c r="J10" s="34">
        <f>IFERROR(VLOOKUP(C10,Employees!$A$2:$H$11,6,FALSE),0)</f>
        <v/>
      </c>
      <c r="K10" s="13">
        <f>IFERROR(VLOOKUP(C10,Employees!$A$2:$H$11,7,FALSE),0)</f>
        <v/>
      </c>
      <c r="L10" s="6" t="n">
        <v>1.5</v>
      </c>
      <c r="M10" s="34">
        <f>H10*J10*(1+K10)</f>
        <v/>
      </c>
      <c r="N10" s="34">
        <f>I10*J10*L10*(1+K10)</f>
        <v/>
      </c>
      <c r="O10" s="34">
        <f>M10+N10</f>
        <v/>
      </c>
      <c r="P10" s="13" t="n">
        <v>0.12</v>
      </c>
      <c r="Q10" s="34">
        <f>O10*P10</f>
        <v/>
      </c>
      <c r="R10" s="34">
        <f>O10+Q10</f>
        <v/>
      </c>
      <c r="S10" s="34">
        <f>O10*0.05</f>
        <v/>
      </c>
      <c r="T10" s="34">
        <f>O10-S10</f>
        <v/>
      </c>
      <c r="U10" s="9" t="inlineStr">
        <is>
          <t>EOFY reporting support</t>
        </is>
      </c>
    </row>
    <row r="11">
      <c r="A11" s="32" t="n">
        <v>46219</v>
      </c>
      <c r="B11" s="4" t="inlineStr">
        <is>
          <t>EMP009</t>
        </is>
      </c>
      <c r="C11" s="5" t="inlineStr">
        <is>
          <t>Cooper Hall</t>
        </is>
      </c>
      <c r="D11" s="5" t="inlineStr">
        <is>
          <t>Hobart</t>
        </is>
      </c>
      <c r="E11" s="5" t="inlineStr">
        <is>
          <t>Warehouse Assistant</t>
        </is>
      </c>
      <c r="F11" s="32" t="n">
        <v>46206</v>
      </c>
      <c r="G11" s="32" t="n">
        <v>46218</v>
      </c>
      <c r="H11" s="6" t="n">
        <v>26</v>
      </c>
      <c r="I11" s="6" t="n">
        <v>4</v>
      </c>
      <c r="J11" s="33">
        <f>IFERROR(VLOOKUP(C11,Employees!$A$2:$H$11,6,FALSE),0)</f>
        <v/>
      </c>
      <c r="K11" s="8">
        <f>IFERROR(VLOOKUP(C11,Employees!$A$2:$H$11,7,FALSE),0)</f>
        <v/>
      </c>
      <c r="L11" s="6" t="n">
        <v>1.75</v>
      </c>
      <c r="M11" s="33">
        <f>H11*J11*(1+K11)</f>
        <v/>
      </c>
      <c r="N11" s="33">
        <f>I11*J11*L11*(1+K11)</f>
        <v/>
      </c>
      <c r="O11" s="33">
        <f>M11+N11</f>
        <v/>
      </c>
      <c r="P11" s="8" t="n">
        <v>0.12</v>
      </c>
      <c r="Q11" s="33">
        <f>O11*P11</f>
        <v/>
      </c>
      <c r="R11" s="33">
        <f>O11+Q11</f>
        <v/>
      </c>
      <c r="S11" s="33">
        <f>O11*0.05</f>
        <v/>
      </c>
      <c r="T11" s="33">
        <f>O11-S11</f>
        <v/>
      </c>
      <c r="U11" s="9" t="inlineStr">
        <is>
          <t>Winter stock delivery</t>
        </is>
      </c>
    </row>
    <row r="12">
      <c r="A12" s="32" t="n">
        <v>46247</v>
      </c>
      <c r="B12" s="10" t="inlineStr">
        <is>
          <t>EMP010</t>
        </is>
      </c>
      <c r="C12" s="11" t="inlineStr">
        <is>
          <t>Isla Allen</t>
        </is>
      </c>
      <c r="D12" s="11" t="inlineStr">
        <is>
          <t>Wollongong</t>
        </is>
      </c>
      <c r="E12" s="11" t="inlineStr">
        <is>
          <t>Retail Assistant</t>
        </is>
      </c>
      <c r="F12" s="32" t="n">
        <v>46234</v>
      </c>
      <c r="G12" s="32" t="n">
        <v>46246</v>
      </c>
      <c r="H12" s="6" t="n">
        <v>18</v>
      </c>
      <c r="I12" s="6" t="n">
        <v>0</v>
      </c>
      <c r="J12" s="34">
        <f>IFERROR(VLOOKUP(C12,Employees!$A$2:$H$11,6,FALSE),0)</f>
        <v/>
      </c>
      <c r="K12" s="13">
        <f>IFERROR(VLOOKUP(C12,Employees!$A$2:$H$11,7,FALSE),0)</f>
        <v/>
      </c>
      <c r="L12" s="6" t="n">
        <v>1.5</v>
      </c>
      <c r="M12" s="34">
        <f>H12*J12*(1+K12)</f>
        <v/>
      </c>
      <c r="N12" s="34">
        <f>I12*J12*L12*(1+K12)</f>
        <v/>
      </c>
      <c r="O12" s="34">
        <f>M12+N12</f>
        <v/>
      </c>
      <c r="P12" s="13" t="n">
        <v>0.12</v>
      </c>
      <c r="Q12" s="34">
        <f>O12*P12</f>
        <v/>
      </c>
      <c r="R12" s="34">
        <f>O12+Q12</f>
        <v/>
      </c>
      <c r="S12" s="34">
        <f>O12*0.05</f>
        <v/>
      </c>
      <c r="T12" s="34">
        <f>O12-S12</f>
        <v/>
      </c>
      <c r="U12" s="9" t="inlineStr">
        <is>
          <t>New starter — training shifts</t>
        </is>
      </c>
    </row>
    <row r="13">
      <c r="A13" s="14" t="n"/>
      <c r="B13" s="14" t="n"/>
      <c r="C13" s="14" t="n"/>
      <c r="D13" s="14" t="n"/>
      <c r="E13" s="15" t="inlineStr">
        <is>
          <t>TOTALS</t>
        </is>
      </c>
      <c r="F13" s="14" t="n"/>
      <c r="G13" s="14" t="n"/>
      <c r="H13" s="15">
        <f>SUM(H3:H12)</f>
        <v/>
      </c>
      <c r="I13" s="15">
        <f>SUM(I3:I12)</f>
        <v/>
      </c>
      <c r="J13" s="14" t="n"/>
      <c r="K13" s="14" t="n"/>
      <c r="L13" s="14" t="n"/>
      <c r="M13" s="35">
        <f>SUM(M3:M12)</f>
        <v/>
      </c>
      <c r="N13" s="35">
        <f>SUM(N3:N12)</f>
        <v/>
      </c>
      <c r="O13" s="35">
        <f>SUM(O3:O12)</f>
        <v/>
      </c>
      <c r="P13" s="14" t="n"/>
      <c r="Q13" s="35">
        <f>SUM(Q3:Q12)</f>
        <v/>
      </c>
      <c r="R13" s="35">
        <f>SUM(R3:R12)</f>
        <v/>
      </c>
      <c r="S13" s="35">
        <f>SUM(S3:S12)</f>
        <v/>
      </c>
      <c r="T13" s="35">
        <f>SUM(T3:T12)</f>
        <v/>
      </c>
      <c r="U13" s="14" t="n"/>
    </row>
    <row r="14"/>
    <row r="15">
      <c r="A15" s="17" t="inlineStr">
        <is>
          <t>Note: PAYG withholding shown is a rough 5% estimate only. Actual withholding must be calculated using current ATO tax tables, TFN declarations and payroll software.</t>
        </is>
      </c>
    </row>
  </sheetData>
  <mergeCells count="2">
    <mergeCell ref="A1:U1"/>
    <mergeCell ref="A15:U15"/>
  </mergeCells>
  <conditionalFormatting sqref="I3:I12">
    <cfRule type="expression" priority="1" dxfId="0" stopIfTrue="1">
      <formula>I3&gt;0</formula>
    </cfRule>
  </conditionalFormatting>
  <conditionalFormatting sqref="R3:R12">
    <cfRule type="expression" priority="2" dxfId="1" stopIfTrue="1">
      <formula>R3&gt;AVERAGE($R$3:$R$12)*1.25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4" customWidth="1" min="3" max="3"/>
    <col width="24" customWidth="1" min="4" max="4"/>
    <col width="15" customWidth="1" min="5" max="5"/>
    <col width="16" customWidth="1" min="6" max="6"/>
    <col width="16" customWidth="1" min="7" max="7"/>
    <col width="40" customWidth="1" min="8" max="8"/>
    <col width="10" customWidth="1" min="9" max="9"/>
  </cols>
  <sheetData>
    <row r="1">
      <c r="A1" s="18" t="inlineStr">
        <is>
          <t>Employee Register &amp; Pay Rate Lookup</t>
        </is>
      </c>
    </row>
    <row r="2">
      <c r="A2" s="2" t="inlineStr">
        <is>
          <t>Employee Name</t>
        </is>
      </c>
      <c r="B2" s="2" t="inlineStr">
        <is>
          <t>Employee ID</t>
        </is>
      </c>
      <c r="C2" s="2" t="inlineStr">
        <is>
          <t>Location</t>
        </is>
      </c>
      <c r="D2" s="2" t="inlineStr">
        <is>
          <t>Job Role</t>
        </is>
      </c>
      <c r="E2" s="2" t="inlineStr">
        <is>
          <t>Employment Type</t>
        </is>
      </c>
      <c r="F2" s="2" t="inlineStr">
        <is>
          <t>Base Hourly Rate</t>
        </is>
      </c>
      <c r="G2" s="2" t="inlineStr">
        <is>
          <t>Casual Loading %</t>
        </is>
      </c>
      <c r="H2" s="2" t="inlineStr">
        <is>
          <t>Award / Agreement Reference</t>
        </is>
      </c>
      <c r="I2" s="2" t="inlineStr">
        <is>
          <t>Active?</t>
        </is>
      </c>
    </row>
    <row r="3">
      <c r="A3" s="5" t="inlineStr">
        <is>
          <t>Jack Thompson</t>
        </is>
      </c>
      <c r="B3" s="4" t="inlineStr">
        <is>
          <t>EMP001</t>
        </is>
      </c>
      <c r="C3" s="5" t="inlineStr">
        <is>
          <t>Sydney</t>
        </is>
      </c>
      <c r="D3" s="5" t="inlineStr">
        <is>
          <t>Retail Assistant</t>
        </is>
      </c>
      <c r="E3" s="4" t="inlineStr">
        <is>
          <t>Casual</t>
        </is>
      </c>
      <c r="F3" s="36" t="n">
        <v>32.5</v>
      </c>
      <c r="G3" s="20" t="n">
        <v>0.25</v>
      </c>
      <c r="H3" s="5" t="inlineStr">
        <is>
          <t>General Retail Industry Award 2020</t>
        </is>
      </c>
      <c r="I3" s="4" t="inlineStr">
        <is>
          <t>Yes</t>
        </is>
      </c>
    </row>
    <row r="4">
      <c r="A4" s="11" t="inlineStr">
        <is>
          <t>Olivia Martin</t>
        </is>
      </c>
      <c r="B4" s="10" t="inlineStr">
        <is>
          <t>EMP002</t>
        </is>
      </c>
      <c r="C4" s="11" t="inlineStr">
        <is>
          <t>Melbourne</t>
        </is>
      </c>
      <c r="D4" s="11" t="inlineStr">
        <is>
          <t>Barista</t>
        </is>
      </c>
      <c r="E4" s="10" t="inlineStr">
        <is>
          <t>Casual</t>
        </is>
      </c>
      <c r="F4" s="36" t="n">
        <v>29.8</v>
      </c>
      <c r="G4" s="20" t="n">
        <v>0.25</v>
      </c>
      <c r="H4" s="11" t="inlineStr">
        <is>
          <t>Hospitality Industry (General) Award 2020</t>
        </is>
      </c>
      <c r="I4" s="10" t="inlineStr">
        <is>
          <t>Yes</t>
        </is>
      </c>
    </row>
    <row r="5">
      <c r="A5" s="5" t="inlineStr">
        <is>
          <t>Liam Walker</t>
        </is>
      </c>
      <c r="B5" s="4" t="inlineStr">
        <is>
          <t>EMP003</t>
        </is>
      </c>
      <c r="C5" s="5" t="inlineStr">
        <is>
          <t>Brisbane</t>
        </is>
      </c>
      <c r="D5" s="5" t="inlineStr">
        <is>
          <t>Warehouse Assistant</t>
        </is>
      </c>
      <c r="E5" s="4" t="inlineStr">
        <is>
          <t>Casual</t>
        </is>
      </c>
      <c r="F5" s="36" t="n">
        <v>31.2</v>
      </c>
      <c r="G5" s="20" t="n">
        <v>0.25</v>
      </c>
      <c r="H5" s="5" t="inlineStr">
        <is>
          <t>Storage Services and Wholesale Award 2020</t>
        </is>
      </c>
      <c r="I5" s="4" t="inlineStr">
        <is>
          <t>Yes</t>
        </is>
      </c>
    </row>
    <row r="6">
      <c r="A6" s="11" t="inlineStr">
        <is>
          <t>Charlotte Lee</t>
        </is>
      </c>
      <c r="B6" s="10" t="inlineStr">
        <is>
          <t>EMP004</t>
        </is>
      </c>
      <c r="C6" s="11" t="inlineStr">
        <is>
          <t>Perth</t>
        </is>
      </c>
      <c r="D6" s="11" t="inlineStr">
        <is>
          <t>Hospitality Attendant</t>
        </is>
      </c>
      <c r="E6" s="10" t="inlineStr">
        <is>
          <t>Casual</t>
        </is>
      </c>
      <c r="F6" s="36" t="n">
        <v>28.9</v>
      </c>
      <c r="G6" s="20" t="n">
        <v>0.3</v>
      </c>
      <c r="H6" s="11" t="inlineStr">
        <is>
          <t>Hospitality Industry (General) Award 2020</t>
        </is>
      </c>
      <c r="I6" s="10" t="inlineStr">
        <is>
          <t>Yes</t>
        </is>
      </c>
    </row>
    <row r="7">
      <c r="A7" s="5" t="inlineStr">
        <is>
          <t>Noah Harris</t>
        </is>
      </c>
      <c r="B7" s="4" t="inlineStr">
        <is>
          <t>EMP005</t>
        </is>
      </c>
      <c r="C7" s="5" t="inlineStr">
        <is>
          <t>Adelaide</t>
        </is>
      </c>
      <c r="D7" s="5" t="inlineStr">
        <is>
          <t>Retail Assistant</t>
        </is>
      </c>
      <c r="E7" s="4" t="inlineStr">
        <is>
          <t>Casual</t>
        </is>
      </c>
      <c r="F7" s="36" t="n">
        <v>27.5</v>
      </c>
      <c r="G7" s="20" t="n">
        <v>0.25</v>
      </c>
      <c r="H7" s="5" t="inlineStr">
        <is>
          <t>General Retail Industry Award 2020</t>
        </is>
      </c>
      <c r="I7" s="4" t="inlineStr">
        <is>
          <t>Yes</t>
        </is>
      </c>
    </row>
    <row r="8">
      <c r="A8" s="11" t="inlineStr">
        <is>
          <t>Mia Clark</t>
        </is>
      </c>
      <c r="B8" s="10" t="inlineStr">
        <is>
          <t>EMP006</t>
        </is>
      </c>
      <c r="C8" s="11" t="inlineStr">
        <is>
          <t>Gold Coast</t>
        </is>
      </c>
      <c r="D8" s="11" t="inlineStr">
        <is>
          <t>Barista</t>
        </is>
      </c>
      <c r="E8" s="10" t="inlineStr">
        <is>
          <t>Casual</t>
        </is>
      </c>
      <c r="F8" s="36" t="n">
        <v>30.4</v>
      </c>
      <c r="G8" s="20" t="n">
        <v>0.3</v>
      </c>
      <c r="H8" s="11" t="inlineStr">
        <is>
          <t>Hospitality Industry (General) Award 2020</t>
        </is>
      </c>
      <c r="I8" s="10" t="inlineStr">
        <is>
          <t>Yes</t>
        </is>
      </c>
    </row>
    <row r="9">
      <c r="A9" s="5" t="inlineStr">
        <is>
          <t>Ethan Lewis</t>
        </is>
      </c>
      <c r="B9" s="4" t="inlineStr">
        <is>
          <t>EMP007</t>
        </is>
      </c>
      <c r="C9" s="5" t="inlineStr">
        <is>
          <t>Newcastle</t>
        </is>
      </c>
      <c r="D9" s="5" t="inlineStr">
        <is>
          <t>Administration Assistant</t>
        </is>
      </c>
      <c r="E9" s="4" t="inlineStr">
        <is>
          <t>Casual</t>
        </is>
      </c>
      <c r="F9" s="36" t="n">
        <v>33.75</v>
      </c>
      <c r="G9" s="20" t="n">
        <v>0.25</v>
      </c>
      <c r="H9" s="5" t="inlineStr">
        <is>
          <t>Clerks — Private Sector Award 2020</t>
        </is>
      </c>
      <c r="I9" s="4" t="inlineStr">
        <is>
          <t>Yes</t>
        </is>
      </c>
    </row>
    <row r="10">
      <c r="A10" s="11" t="inlineStr">
        <is>
          <t>Ruby Young</t>
        </is>
      </c>
      <c r="B10" s="10" t="inlineStr">
        <is>
          <t>EMP008</t>
        </is>
      </c>
      <c r="C10" s="11" t="inlineStr">
        <is>
          <t>Canberra</t>
        </is>
      </c>
      <c r="D10" s="11" t="inlineStr">
        <is>
          <t>Administration Assistant</t>
        </is>
      </c>
      <c r="E10" s="10" t="inlineStr">
        <is>
          <t>Casual</t>
        </is>
      </c>
      <c r="F10" s="36" t="n">
        <v>35.2</v>
      </c>
      <c r="G10" s="20" t="n">
        <v>0.25</v>
      </c>
      <c r="H10" s="11" t="inlineStr">
        <is>
          <t>Clerks — Private Sector Award 2020</t>
        </is>
      </c>
      <c r="I10" s="10" t="inlineStr">
        <is>
          <t>Yes</t>
        </is>
      </c>
    </row>
    <row r="11">
      <c r="A11" s="5" t="inlineStr">
        <is>
          <t>Cooper Hall</t>
        </is>
      </c>
      <c r="B11" s="4" t="inlineStr">
        <is>
          <t>EMP009</t>
        </is>
      </c>
      <c r="C11" s="5" t="inlineStr">
        <is>
          <t>Hobart</t>
        </is>
      </c>
      <c r="D11" s="5" t="inlineStr">
        <is>
          <t>Warehouse Assistant</t>
        </is>
      </c>
      <c r="E11" s="4" t="inlineStr">
        <is>
          <t>Casual</t>
        </is>
      </c>
      <c r="F11" s="36" t="n">
        <v>29.6</v>
      </c>
      <c r="G11" s="20" t="n">
        <v>0.25</v>
      </c>
      <c r="H11" s="5" t="inlineStr">
        <is>
          <t>Storage Services and Wholesale Award 2020</t>
        </is>
      </c>
      <c r="I11" s="4" t="inlineStr">
        <is>
          <t>Yes</t>
        </is>
      </c>
    </row>
    <row r="12">
      <c r="A12" s="11" t="inlineStr">
        <is>
          <t>Isla Allen</t>
        </is>
      </c>
      <c r="B12" s="10" t="inlineStr">
        <is>
          <t>EMP010</t>
        </is>
      </c>
      <c r="C12" s="11" t="inlineStr">
        <is>
          <t>Wollongong</t>
        </is>
      </c>
      <c r="D12" s="11" t="inlineStr">
        <is>
          <t>Retail Assistant</t>
        </is>
      </c>
      <c r="E12" s="10" t="inlineStr">
        <is>
          <t>Casual</t>
        </is>
      </c>
      <c r="F12" s="36" t="n">
        <v>38</v>
      </c>
      <c r="G12" s="20" t="n">
        <v>0.25</v>
      </c>
      <c r="H12" s="11" t="inlineStr">
        <is>
          <t>General Retail Industry Award 2020</t>
        </is>
      </c>
      <c r="I12" s="10" t="inlineStr">
        <is>
          <t>Yes</t>
        </is>
      </c>
    </row>
    <row r="13"/>
    <row r="14">
      <c r="A14" s="21" t="inlineStr">
        <is>
          <t>Assumptions</t>
        </is>
      </c>
    </row>
    <row r="15">
      <c r="A15" s="22" t="inlineStr">
        <is>
          <t>Superannuation rate (SG 2026-27)</t>
        </is>
      </c>
      <c r="B15" s="23" t="n">
        <v>0.12</v>
      </c>
    </row>
    <row r="16">
      <c r="A16" s="22" t="inlineStr">
        <is>
          <t>Standard casual loading</t>
        </is>
      </c>
      <c r="B16" s="23" t="n">
        <v>0.25</v>
      </c>
    </row>
    <row r="17">
      <c r="A17" s="22" t="inlineStr">
        <is>
          <t>GST rate</t>
        </is>
      </c>
      <c r="B17" s="23" t="n">
        <v>0.1</v>
      </c>
    </row>
    <row r="18">
      <c r="A18" s="22" t="inlineStr">
        <is>
          <t>Financial year</t>
        </is>
      </c>
      <c r="B18" s="24" t="inlineStr">
        <is>
          <t>1 July 2026 – 30 June 2027</t>
        </is>
      </c>
    </row>
    <row r="19">
      <c r="A19" s="22" t="inlineStr">
        <is>
          <t>Currency</t>
        </is>
      </c>
      <c r="B19" s="24" t="inlineStr">
        <is>
          <t>AUD</t>
        </is>
      </c>
    </row>
    <row r="20"/>
    <row r="21">
      <c r="A21" s="17" t="inlineStr">
        <is>
          <t>Casual loading and base rates must be checked against the applicable modern award, enterprise agreement or employment contract. Refer to the Fair Work Ombudsman Pay Calculator for current minimum rates.</t>
        </is>
      </c>
    </row>
  </sheetData>
  <mergeCells count="2">
    <mergeCell ref="A1:I1"/>
    <mergeCell ref="A21:I2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6" customWidth="1" min="3" max="3"/>
    <col width="16" customWidth="1" min="4" max="4"/>
    <col width="4" customWidth="1" min="5" max="5"/>
    <col width="18" customWidth="1" min="6" max="6"/>
    <col width="16" customWidth="1" min="7" max="7"/>
    <col width="14" customWidth="1" min="8" max="8"/>
  </cols>
  <sheetData>
    <row r="1">
      <c r="A1" s="18" t="inlineStr">
        <is>
          <t>Payroll Summary Dashboard — 2026</t>
        </is>
      </c>
    </row>
    <row r="2"/>
    <row r="3">
      <c r="A3" s="2" t="inlineStr">
        <is>
          <t>Metric</t>
        </is>
      </c>
      <c r="B3" s="2" t="inlineStr">
        <is>
          <t>Value</t>
        </is>
      </c>
    </row>
    <row r="4">
      <c r="A4" s="22" t="inlineStr">
        <is>
          <t>Total gross pay</t>
        </is>
      </c>
      <c r="B4" s="37">
        <f>SUM('Pay Calculator'!O3:O12)</f>
        <v/>
      </c>
    </row>
    <row r="5">
      <c r="A5" s="26" t="inlineStr">
        <is>
          <t>Average gross pay</t>
        </is>
      </c>
      <c r="B5" s="38">
        <f>IFERROR(AVERAGE('Pay Calculator'!O3:O12),0)</f>
        <v/>
      </c>
    </row>
    <row r="6">
      <c r="A6" s="22" t="inlineStr">
        <is>
          <t>Total ordinary hours</t>
        </is>
      </c>
      <c r="B6" s="39">
        <f>SUM('Pay Calculator'!H3:H12)</f>
        <v/>
      </c>
    </row>
    <row r="7">
      <c r="A7" s="26" t="inlineStr">
        <is>
          <t>Total overtime hours</t>
        </is>
      </c>
      <c r="B7" s="40">
        <f>SUM('Pay Calculator'!I3:I12)</f>
        <v/>
      </c>
    </row>
    <row r="8">
      <c r="A8" s="22" t="inlineStr">
        <is>
          <t>Total casual loading component</t>
        </is>
      </c>
      <c r="B8" s="37">
        <f>SUMPRODUCT('Pay Calculator'!H3:H12,'Pay Calculator'!J3:J12,'Pay Calculator'!K3:K12)</f>
        <v/>
      </c>
    </row>
    <row r="9">
      <c r="A9" s="26" t="inlineStr">
        <is>
          <t>Total superannuation</t>
        </is>
      </c>
      <c r="B9" s="38">
        <f>SUM('Pay Calculator'!Q3:Q12)</f>
        <v/>
      </c>
    </row>
    <row r="10">
      <c r="A10" s="22" t="inlineStr">
        <is>
          <t>Total employer cost</t>
        </is>
      </c>
      <c r="B10" s="37">
        <f>SUM('Pay Calculator'!R3:R12)</f>
        <v/>
      </c>
    </row>
    <row r="11">
      <c r="A11" s="26" t="inlineStr">
        <is>
          <t>Number of pay entries</t>
        </is>
      </c>
      <c r="B11" s="30">
        <f>COUNTIF('Pay Calculator'!B3:B12,"&lt;&gt;")</f>
        <v/>
      </c>
    </row>
    <row r="12">
      <c r="A12" s="22" t="inlineStr">
        <is>
          <t>Overtime flag</t>
        </is>
      </c>
      <c r="B12" s="14">
        <f>IF(SUM('Pay Calculator'!I3:I12)&gt;0,"Overtime included","No overtime recorded")</f>
        <v/>
      </c>
    </row>
    <row r="13"/>
    <row r="14"/>
    <row r="15">
      <c r="A15" s="2" t="inlineStr">
        <is>
          <t>Location</t>
        </is>
      </c>
      <c r="B15" s="2" t="inlineStr">
        <is>
          <t>Pay Entries</t>
        </is>
      </c>
      <c r="C15" s="2" t="inlineStr">
        <is>
          <t>Gross Pay</t>
        </is>
      </c>
      <c r="D15" s="2" t="inlineStr">
        <is>
          <t>Employer Cost</t>
        </is>
      </c>
    </row>
    <row r="16">
      <c r="A16" s="14" t="inlineStr">
        <is>
          <t>Sydney</t>
        </is>
      </c>
      <c r="B16" s="14">
        <f>COUNTIF('Pay Calculator'!D3:D12,A16)</f>
        <v/>
      </c>
      <c r="C16" s="37">
        <f>SUMIF('Pay Calculator'!D3:D12,A16,'Pay Calculator'!O3:O12)</f>
        <v/>
      </c>
      <c r="D16" s="37">
        <f>SUMIF('Pay Calculator'!D3:D12,A16,'Pay Calculator'!R3:R12)</f>
        <v/>
      </c>
    </row>
    <row r="17">
      <c r="A17" s="31" t="inlineStr">
        <is>
          <t>Melbourne</t>
        </is>
      </c>
      <c r="B17" s="31">
        <f>COUNTIF('Pay Calculator'!D3:D12,A17)</f>
        <v/>
      </c>
      <c r="C17" s="38">
        <f>SUMIF('Pay Calculator'!D3:D12,A17,'Pay Calculator'!O3:O12)</f>
        <v/>
      </c>
      <c r="D17" s="38">
        <f>SUMIF('Pay Calculator'!D3:D12,A17,'Pay Calculator'!R3:R12)</f>
        <v/>
      </c>
    </row>
    <row r="18">
      <c r="A18" s="14" t="inlineStr">
        <is>
          <t>Brisbane</t>
        </is>
      </c>
      <c r="B18" s="14">
        <f>COUNTIF('Pay Calculator'!D3:D12,A18)</f>
        <v/>
      </c>
      <c r="C18" s="37">
        <f>SUMIF('Pay Calculator'!D3:D12,A18,'Pay Calculator'!O3:O12)</f>
        <v/>
      </c>
      <c r="D18" s="37">
        <f>SUMIF('Pay Calculator'!D3:D12,A18,'Pay Calculator'!R3:R12)</f>
        <v/>
      </c>
    </row>
    <row r="19">
      <c r="A19" s="31" t="inlineStr">
        <is>
          <t>Perth</t>
        </is>
      </c>
      <c r="B19" s="31">
        <f>COUNTIF('Pay Calculator'!D3:D12,A19)</f>
        <v/>
      </c>
      <c r="C19" s="38">
        <f>SUMIF('Pay Calculator'!D3:D12,A19,'Pay Calculator'!O3:O12)</f>
        <v/>
      </c>
      <c r="D19" s="38">
        <f>SUMIF('Pay Calculator'!D3:D12,A19,'Pay Calculator'!R3:R12)</f>
        <v/>
      </c>
    </row>
    <row r="20">
      <c r="A20" s="14" t="inlineStr">
        <is>
          <t>Adelaide</t>
        </is>
      </c>
      <c r="B20" s="14">
        <f>COUNTIF('Pay Calculator'!D3:D12,A20)</f>
        <v/>
      </c>
      <c r="C20" s="37">
        <f>SUMIF('Pay Calculator'!D3:D12,A20,'Pay Calculator'!O3:O12)</f>
        <v/>
      </c>
      <c r="D20" s="37">
        <f>SUMIF('Pay Calculator'!D3:D12,A20,'Pay Calculator'!R3:R12)</f>
        <v/>
      </c>
    </row>
    <row r="21">
      <c r="A21" s="31" t="inlineStr">
        <is>
          <t>Gold Coast</t>
        </is>
      </c>
      <c r="B21" s="31">
        <f>COUNTIF('Pay Calculator'!D3:D12,A21)</f>
        <v/>
      </c>
      <c r="C21" s="38">
        <f>SUMIF('Pay Calculator'!D3:D12,A21,'Pay Calculator'!O3:O12)</f>
        <v/>
      </c>
      <c r="D21" s="38">
        <f>SUMIF('Pay Calculator'!D3:D12,A21,'Pay Calculator'!R3:R12)</f>
        <v/>
      </c>
    </row>
    <row r="22">
      <c r="A22" s="14" t="inlineStr">
        <is>
          <t>Newcastle</t>
        </is>
      </c>
      <c r="B22" s="14">
        <f>COUNTIF('Pay Calculator'!D3:D12,A22)</f>
        <v/>
      </c>
      <c r="C22" s="37">
        <f>SUMIF('Pay Calculator'!D3:D12,A22,'Pay Calculator'!O3:O12)</f>
        <v/>
      </c>
      <c r="D22" s="37">
        <f>SUMIF('Pay Calculator'!D3:D12,A22,'Pay Calculator'!R3:R12)</f>
        <v/>
      </c>
    </row>
    <row r="23">
      <c r="A23" s="31" t="inlineStr">
        <is>
          <t>Canberra</t>
        </is>
      </c>
      <c r="B23" s="31">
        <f>COUNTIF('Pay Calculator'!D3:D12,A23)</f>
        <v/>
      </c>
      <c r="C23" s="38">
        <f>SUMIF('Pay Calculator'!D3:D12,A23,'Pay Calculator'!O3:O12)</f>
        <v/>
      </c>
      <c r="D23" s="38">
        <f>SUMIF('Pay Calculator'!D3:D12,A23,'Pay Calculator'!R3:R12)</f>
        <v/>
      </c>
    </row>
    <row r="24">
      <c r="A24" s="14" t="inlineStr">
        <is>
          <t>Hobart</t>
        </is>
      </c>
      <c r="B24" s="14">
        <f>COUNTIF('Pay Calculator'!D3:D12,A24)</f>
        <v/>
      </c>
      <c r="C24" s="37">
        <f>SUMIF('Pay Calculator'!D3:D12,A24,'Pay Calculator'!O3:O12)</f>
        <v/>
      </c>
      <c r="D24" s="37">
        <f>SUMIF('Pay Calculator'!D3:D12,A24,'Pay Calculator'!R3:R12)</f>
        <v/>
      </c>
    </row>
    <row r="25">
      <c r="A25" s="31" t="inlineStr">
        <is>
          <t>Wollongong</t>
        </is>
      </c>
      <c r="B25" s="31">
        <f>COUNTIF('Pay Calculator'!D3:D12,A25)</f>
        <v/>
      </c>
      <c r="C25" s="38">
        <f>SUMIF('Pay Calculator'!D3:D12,A25,'Pay Calculator'!O3:O12)</f>
        <v/>
      </c>
      <c r="D25" s="38">
        <f>SUMIF('Pay Calculator'!D3:D12,A25,'Pay Calculator'!R3:R12)</f>
        <v/>
      </c>
    </row>
    <row r="26"/>
    <row r="27"/>
    <row r="28">
      <c r="F28" s="15" t="inlineStr">
        <is>
          <t>Cost Component</t>
        </is>
      </c>
      <c r="G28" s="15" t="inlineStr">
        <is>
          <t>Amount</t>
        </is>
      </c>
    </row>
    <row r="29">
      <c r="F29" s="14" t="inlineStr">
        <is>
          <t>Gross Pay</t>
        </is>
      </c>
      <c r="G29" s="37">
        <f>SUM('Pay Calculator'!O3:O12)</f>
        <v/>
      </c>
    </row>
    <row r="30">
      <c r="F30" s="14" t="inlineStr">
        <is>
          <t>Superannuation</t>
        </is>
      </c>
      <c r="G30" s="37">
        <f>SUM('Pay Calculator'!Q3:Q12)</f>
        <v/>
      </c>
    </row>
    <row r="31"/>
    <row r="32"/>
    <row r="33">
      <c r="A33" s="17" t="inlineStr">
        <is>
          <t>This workbook is a planning template only and does not replace ATO, Fair Work or payroll-system calculations. Verify rates, loadings and withholding before processing actual payroll.</t>
        </is>
      </c>
    </row>
  </sheetData>
  <mergeCells count="2">
    <mergeCell ref="A1:H1"/>
    <mergeCell ref="A33:D3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2026-08-01T03:29:54Z</dcterms:created>
  <dcterms:modified xmlns:dcterms="http://purl.org/dc/terms/" xmlns:xsi="http://www.w3.org/2001/XMLSchema-instance" xsi:type="dcterms:W3CDTF">2026-08-01T03:29:54Z</dcterms:modified>
</cp:coreProperties>
</file>