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s Estimate" sheetId="1" state="visible" r:id="rId1"/>
    <sheet xmlns:r="http://schemas.openxmlformats.org/officeDocument/2006/relationships" name="Quote Summary" sheetId="2" state="visible" r:id="rId2"/>
    <sheet xmlns:r="http://schemas.openxmlformats.org/officeDocument/2006/relationships" name="Rate Libr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%"/>
    <numFmt numFmtId="166" formatCode="$#,##0.00"/>
    <numFmt numFmtId="167" formatCode="0.00&quot;%&quot;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0F766E"/>
      <sz val="11"/>
    </font>
    <font>
      <name val="Calibri"/>
      <b val="1"/>
      <color rgb="0016A34A"/>
      <sz val="12"/>
    </font>
    <font>
      <name val="Calibri"/>
      <b val="1"/>
      <color rgb="00FFFFFF"/>
      <sz val="12"/>
    </font>
    <font>
      <name val="Calibri"/>
      <b val="1"/>
      <color rgb="000F766E"/>
      <sz val="10"/>
    </font>
    <font>
      <name val="Calibri"/>
      <b val="1"/>
      <color rgb="00FFFFFF"/>
      <sz val="13"/>
    </font>
  </fonts>
  <fills count="14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334155"/>
      </patternFill>
    </fill>
    <fill>
      <patternFill patternType="solid">
        <fgColor rgb="0014B8A6"/>
      </patternFill>
    </fill>
    <fill>
      <patternFill patternType="solid">
        <fgColor rgb="00E2E8F0"/>
      </patternFill>
    </fill>
    <fill>
      <patternFill patternType="solid">
        <fgColor rgb="007F1D1D"/>
      </patternFill>
    </fill>
    <fill>
      <patternFill patternType="solid">
        <fgColor rgb="00FEE2E2"/>
      </patternFill>
    </fill>
    <fill>
      <patternFill patternType="solid">
        <fgColor rgb="000F766E"/>
      </patternFill>
    </fill>
    <fill>
      <patternFill patternType="solid">
        <fgColor rgb="00DCFCE7"/>
      </patternFill>
    </fill>
    <fill>
      <patternFill patternType="solid">
        <fgColor rgb="00FFF7ED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166" fontId="4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166" fontId="6" fillId="6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center" vertical="center" wrapText="1"/>
    </xf>
    <xf numFmtId="0" fontId="0" fillId="0" borderId="4" pivotButton="0" quotePrefix="0" xfId="0"/>
    <xf numFmtId="166" fontId="3" fillId="3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166" fontId="7" fillId="4" borderId="1" applyAlignment="1" pivotButton="0" quotePrefix="0" xfId="0">
      <alignment horizontal="right" vertical="center"/>
    </xf>
    <xf numFmtId="0" fontId="6" fillId="9" borderId="1" applyAlignment="1" pivotButton="0" quotePrefix="0" xfId="0">
      <alignment horizontal="left" vertical="center" wrapText="1"/>
    </xf>
    <xf numFmtId="166" fontId="5" fillId="10" borderId="1" applyAlignment="1" pivotButton="0" quotePrefix="0" xfId="0">
      <alignment horizontal="right" vertical="center"/>
    </xf>
    <xf numFmtId="0" fontId="6" fillId="11" borderId="1" applyAlignment="1" pivotButton="0" quotePrefix="0" xfId="0">
      <alignment horizontal="left" vertical="center" wrapText="1"/>
    </xf>
    <xf numFmtId="166" fontId="9" fillId="12" borderId="1" applyAlignment="1" pivotButton="0" quotePrefix="0" xfId="0">
      <alignment horizontal="right" vertical="center"/>
    </xf>
    <xf numFmtId="167" fontId="7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5" fillId="13" borderId="1" applyAlignment="1" pivotButton="0" quotePrefix="0" xfId="0">
      <alignment horizontal="center" vertical="center" wrapText="1"/>
    </xf>
    <xf numFmtId="0" fontId="10" fillId="11" borderId="0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 wrapText="1"/>
    </xf>
    <xf numFmtId="166" fontId="11" fillId="3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left" vertical="center" wrapText="1"/>
    </xf>
    <xf numFmtId="166" fontId="11" fillId="5" borderId="1" applyAlignment="1" pivotButton="0" quotePrefix="0" xfId="0">
      <alignment horizontal="right" vertical="center"/>
    </xf>
    <xf numFmtId="165" fontId="11" fillId="3" borderId="1" applyAlignment="1" pivotButton="0" quotePrefix="0" xfId="0">
      <alignment horizontal="right" vertical="center"/>
    </xf>
    <xf numFmtId="3" fontId="11" fillId="5" borderId="1" applyAlignment="1" pivotButton="0" quotePrefix="0" xfId="0">
      <alignment horizontal="right" vertical="center"/>
    </xf>
    <xf numFmtId="3" fontId="11" fillId="3" borderId="1" applyAlignment="1" pivotButton="0" quotePrefix="0" xfId="0">
      <alignment horizontal="right" vertical="center"/>
    </xf>
    <xf numFmtId="0" fontId="3" fillId="0" borderId="1" pivotButton="0" quotePrefix="0" xfId="0"/>
    <xf numFmtId="166" fontId="3" fillId="0" borderId="1" pivotButton="0" quotePrefix="0" xfId="0"/>
    <xf numFmtId="0" fontId="1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2" fillId="11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 Composition (Ex GST)</a:t>
            </a:r>
          </a:p>
        </rich>
      </tx>
    </title>
    <plotArea>
      <pieChart>
        <varyColors val="1"/>
        <ser>
          <idx val="0"/>
          <order val="0"/>
          <tx>
            <strRef>
              <f>'Quote Summary'!G31</f>
            </strRef>
          </tx>
          <spPr>
            <a:ln xmlns:a="http://schemas.openxmlformats.org/drawingml/2006/main">
              <a:prstDash val="solid"/>
            </a:ln>
          </spPr>
          <cat>
            <numRef>
              <f>'Quote Summary'!$F$32:$F$35</f>
            </numRef>
          </cat>
          <val>
            <numRef>
              <f>'Quote Summary'!$G$32:$G$35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Base Rate by Material (Ex GST, AUD)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'Rate Library'!E2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'Rate Library'!$C$3:$C$12</f>
            </numRef>
          </cat>
          <val>
            <numRef>
              <f>'Rate Library'!$E$3:$E$12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Material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Rate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10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14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20" customWidth="1" min="4" max="4"/>
    <col width="16" customWidth="1" min="5" max="5"/>
    <col width="14" customWidth="1" min="6" max="6"/>
    <col width="28" customWidth="1" min="7" max="7"/>
    <col width="8" customWidth="1" min="8" max="8"/>
    <col width="10" customWidth="1" min="9" max="9"/>
    <col width="10" customWidth="1" min="10" max="10"/>
    <col width="18" customWidth="1" min="11" max="11"/>
    <col width="10" customWidth="1" min="12" max="12"/>
    <col width="14" customWidth="1" min="13" max="13"/>
    <col width="16" customWidth="1" min="14" max="14"/>
    <col width="14" customWidth="1" min="15" max="15"/>
    <col width="16" customWidth="1" min="16" max="16"/>
    <col width="22" customWidth="1" min="17" max="17"/>
    <col width="14" customWidth="1" min="18" max="18"/>
    <col width="12" customWidth="1" min="19" max="19"/>
  </cols>
  <sheetData>
    <row r="1" ht="36" customHeight="1">
      <c r="A1" s="1" t="inlineStr">
        <is>
          <t>CONCRETER MATERIALS ESTIMATE — 2026</t>
        </is>
      </c>
    </row>
    <row r="2" ht="32" customHeight="1">
      <c r="A2" s="2" t="inlineStr">
        <is>
          <t>Item No.</t>
        </is>
      </c>
      <c r="B2" s="2" t="inlineStr">
        <is>
          <t>Date</t>
        </is>
      </c>
      <c r="C2" s="2" t="inlineStr">
        <is>
          <t>Project Name</t>
        </is>
      </c>
      <c r="D2" s="2" t="inlineStr">
        <is>
          <t>Client Name</t>
        </is>
      </c>
      <c r="E2" s="2" t="inlineStr">
        <is>
          <t>Site Suburb</t>
        </is>
      </c>
      <c r="F2" s="2" t="inlineStr">
        <is>
          <t>City</t>
        </is>
      </c>
      <c r="G2" s="2" t="inlineStr">
        <is>
          <t>Material Type</t>
        </is>
      </c>
      <c r="H2" s="2" t="inlineStr">
        <is>
          <t>Unit</t>
        </is>
      </c>
      <c r="I2" s="2" t="inlineStr">
        <is>
          <t>Quantity</t>
        </is>
      </c>
      <c r="J2" s="2" t="inlineStr">
        <is>
          <t>Wastage %</t>
        </is>
      </c>
      <c r="K2" s="2" t="inlineStr">
        <is>
          <t>Base Unit Rate (AUD)</t>
        </is>
      </c>
      <c r="L2" s="2" t="inlineStr">
        <is>
          <t>Markup %</t>
        </is>
      </c>
      <c r="M2" s="2" t="inlineStr">
        <is>
          <t>GST Applicable?</t>
        </is>
      </c>
      <c r="N2" s="2" t="inlineStr">
        <is>
          <t>Total Ex GST</t>
        </is>
      </c>
      <c r="O2" s="2" t="inlineStr">
        <is>
          <t>GST Amount</t>
        </is>
      </c>
      <c r="P2" s="2" t="inlineStr">
        <is>
          <t>Total Inc GST</t>
        </is>
      </c>
      <c r="Q2" s="2" t="inlineStr">
        <is>
          <t>Supplier</t>
        </is>
      </c>
      <c r="R2" s="2" t="inlineStr">
        <is>
          <t>Delivery Date</t>
        </is>
      </c>
      <c r="S2" s="2" t="inlineStr">
        <is>
          <t>Status</t>
        </is>
      </c>
    </row>
    <row r="3" ht="22" customHeight="1">
      <c r="A3" s="3" t="n">
        <v>1</v>
      </c>
      <c r="B3" s="4" t="inlineStr">
        <is>
          <t>15/03/2026</t>
        </is>
      </c>
      <c r="C3" s="3" t="inlineStr">
        <is>
          <t>Residential Slab Pour</t>
        </is>
      </c>
      <c r="D3" s="3" t="inlineStr">
        <is>
          <t>Jack Morrison</t>
        </is>
      </c>
      <c r="E3" s="3" t="inlineStr">
        <is>
          <t>Parramatta</t>
        </is>
      </c>
      <c r="F3" s="3" t="inlineStr">
        <is>
          <t>Sydney</t>
        </is>
      </c>
      <c r="G3" s="3" t="inlineStr">
        <is>
          <t>Premix Concrete 25MPa</t>
        </is>
      </c>
      <c r="H3" s="3" t="inlineStr">
        <is>
          <t>m³</t>
        </is>
      </c>
      <c r="I3" s="5" t="n">
        <v>18</v>
      </c>
      <c r="J3" s="6" t="n">
        <v>0.05</v>
      </c>
      <c r="K3" s="7">
        <f>IFERROR(VLOOKUP(G3,'Rate Library'!$C:$E,3,0),245.0)</f>
        <v/>
      </c>
      <c r="L3" s="6" t="n">
        <v>0.15</v>
      </c>
      <c r="M3" s="8" t="inlineStr">
        <is>
          <t>Yes</t>
        </is>
      </c>
      <c r="N3" s="9">
        <f>IFERROR(I3*K3*(1+J3)*(1+L3),0)</f>
        <v/>
      </c>
      <c r="O3" s="10">
        <f>IF(M3="Yes",N3*0.1,0)</f>
        <v/>
      </c>
      <c r="P3" s="9">
        <f>N3+O3</f>
        <v/>
      </c>
      <c r="Q3" s="3" t="inlineStr">
        <is>
          <t>Boral Concrete</t>
        </is>
      </c>
      <c r="R3" s="4" t="inlineStr">
        <is>
          <t>18/03/2026</t>
        </is>
      </c>
      <c r="S3" s="3" t="inlineStr">
        <is>
          <t>Sent</t>
        </is>
      </c>
    </row>
    <row r="4" ht="22" customHeight="1">
      <c r="A4" s="11" t="n">
        <v>2</v>
      </c>
      <c r="B4" s="12" t="inlineStr">
        <is>
          <t>15/03/2026</t>
        </is>
      </c>
      <c r="C4" s="11" t="inlineStr">
        <is>
          <t>Residential Slab Pour</t>
        </is>
      </c>
      <c r="D4" s="11" t="inlineStr">
        <is>
          <t>Jack Morrison</t>
        </is>
      </c>
      <c r="E4" s="11" t="inlineStr">
        <is>
          <t>Parramatta</t>
        </is>
      </c>
      <c r="F4" s="11" t="inlineStr">
        <is>
          <t>Sydney</t>
        </is>
      </c>
      <c r="G4" s="11" t="inlineStr">
        <is>
          <t>Reinforcing Mesh SL72</t>
        </is>
      </c>
      <c r="H4" s="11" t="inlineStr">
        <is>
          <t>sheet</t>
        </is>
      </c>
      <c r="I4" s="5" t="n">
        <v>32</v>
      </c>
      <c r="J4" s="6" t="n">
        <v>0.08</v>
      </c>
      <c r="K4" s="7">
        <f>IFERROR(VLOOKUP(G4,'Rate Library'!$C:$E,3,0),38.5)</f>
        <v/>
      </c>
      <c r="L4" s="6" t="n">
        <v>0.15</v>
      </c>
      <c r="M4" s="8" t="inlineStr">
        <is>
          <t>Yes</t>
        </is>
      </c>
      <c r="N4" s="13">
        <f>IFERROR(I4*K4*(1+J4)*(1+L4),0)</f>
        <v/>
      </c>
      <c r="O4" s="14">
        <f>IF(M4="Yes",N4*0.1,0)</f>
        <v/>
      </c>
      <c r="P4" s="13">
        <f>N4+O4</f>
        <v/>
      </c>
      <c r="Q4" s="11" t="inlineStr">
        <is>
          <t>InfraBuild</t>
        </is>
      </c>
      <c r="R4" s="12" t="inlineStr">
        <is>
          <t>18/03/2026</t>
        </is>
      </c>
      <c r="S4" s="11" t="inlineStr">
        <is>
          <t>Sent</t>
        </is>
      </c>
    </row>
    <row r="5" ht="22" customHeight="1">
      <c r="A5" s="3" t="n">
        <v>3</v>
      </c>
      <c r="B5" s="4" t="inlineStr">
        <is>
          <t>22/03/2026</t>
        </is>
      </c>
      <c r="C5" s="3" t="inlineStr">
        <is>
          <t>Driveway Pour</t>
        </is>
      </c>
      <c r="D5" s="3" t="inlineStr">
        <is>
          <t>Olivia Chen</t>
        </is>
      </c>
      <c r="E5" s="3" t="inlineStr">
        <is>
          <t>Fitzroy</t>
        </is>
      </c>
      <c r="F5" s="3" t="inlineStr">
        <is>
          <t>Melbourne</t>
        </is>
      </c>
      <c r="G5" s="3" t="inlineStr">
        <is>
          <t>Crusher Dust</t>
        </is>
      </c>
      <c r="H5" s="3" t="inlineStr">
        <is>
          <t>tonne</t>
        </is>
      </c>
      <c r="I5" s="5" t="n">
        <v>4</v>
      </c>
      <c r="J5" s="6" t="n">
        <v>0.1</v>
      </c>
      <c r="K5" s="7">
        <f>IFERROR(VLOOKUP(G5,'Rate Library'!$C:$E,3,0),65.0)</f>
        <v/>
      </c>
      <c r="L5" s="6" t="n">
        <v>0.12</v>
      </c>
      <c r="M5" s="8" t="inlineStr">
        <is>
          <t>Yes</t>
        </is>
      </c>
      <c r="N5" s="9">
        <f>IFERROR(I5*K5*(1+J5)*(1+L5),0)</f>
        <v/>
      </c>
      <c r="O5" s="10">
        <f>IF(M5="Yes",N5*0.1,0)</f>
        <v/>
      </c>
      <c r="P5" s="9">
        <f>N5+O5</f>
        <v/>
      </c>
      <c r="Q5" s="3" t="inlineStr">
        <is>
          <t>Hanson Australia</t>
        </is>
      </c>
      <c r="R5" s="4" t="inlineStr">
        <is>
          <t>25/03/2026</t>
        </is>
      </c>
      <c r="S5" s="3" t="inlineStr">
        <is>
          <t>Accepted</t>
        </is>
      </c>
    </row>
    <row r="6" ht="22" customHeight="1">
      <c r="A6" s="11" t="n">
        <v>4</v>
      </c>
      <c r="B6" s="12" t="inlineStr">
        <is>
          <t>22/03/2026</t>
        </is>
      </c>
      <c r="C6" s="11" t="inlineStr">
        <is>
          <t>Driveway Pour</t>
        </is>
      </c>
      <c r="D6" s="11" t="inlineStr">
        <is>
          <t>Olivia Chen</t>
        </is>
      </c>
      <c r="E6" s="11" t="inlineStr">
        <is>
          <t>Fitzroy</t>
        </is>
      </c>
      <c r="F6" s="11" t="inlineStr">
        <is>
          <t>Melbourne</t>
        </is>
      </c>
      <c r="G6" s="11" t="inlineStr">
        <is>
          <t>Formwork Timber</t>
        </is>
      </c>
      <c r="H6" s="11" t="inlineStr">
        <is>
          <t>lm</t>
        </is>
      </c>
      <c r="I6" s="5" t="n">
        <v>28</v>
      </c>
      <c r="J6" s="6" t="n">
        <v>0.1</v>
      </c>
      <c r="K6" s="7">
        <f>IFERROR(VLOOKUP(G6,'Rate Library'!$C:$E,3,0),12.8)</f>
        <v/>
      </c>
      <c r="L6" s="6" t="n">
        <v>0.12</v>
      </c>
      <c r="M6" s="8" t="inlineStr">
        <is>
          <t>Yes</t>
        </is>
      </c>
      <c r="N6" s="13">
        <f>IFERROR(I6*K6*(1+J6)*(1+L6),0)</f>
        <v/>
      </c>
      <c r="O6" s="14">
        <f>IF(M6="Yes",N6*0.1,0)</f>
        <v/>
      </c>
      <c r="P6" s="13">
        <f>N6+O6</f>
        <v/>
      </c>
      <c r="Q6" s="11" t="inlineStr">
        <is>
          <t>Bowens Timber</t>
        </is>
      </c>
      <c r="R6" s="12" t="inlineStr">
        <is>
          <t>24/03/2026</t>
        </is>
      </c>
      <c r="S6" s="11" t="inlineStr">
        <is>
          <t>Accepted</t>
        </is>
      </c>
    </row>
    <row r="7" ht="22" customHeight="1">
      <c r="A7" s="3" t="n">
        <v>5</v>
      </c>
      <c r="B7" s="4" t="inlineStr">
        <is>
          <t>05/04/2026</t>
        </is>
      </c>
      <c r="C7" s="3" t="inlineStr">
        <is>
          <t>Alfresco Slab</t>
        </is>
      </c>
      <c r="D7" s="3" t="inlineStr">
        <is>
          <t>Liam Nguyen</t>
        </is>
      </c>
      <c r="E7" s="3" t="inlineStr">
        <is>
          <t>New Farm</t>
        </is>
      </c>
      <c r="F7" s="3" t="inlineStr">
        <is>
          <t>Brisbane</t>
        </is>
      </c>
      <c r="G7" s="3" t="inlineStr">
        <is>
          <t>Curing Compound</t>
        </is>
      </c>
      <c r="H7" s="3" t="inlineStr">
        <is>
          <t>L</t>
        </is>
      </c>
      <c r="I7" s="5" t="n">
        <v>15</v>
      </c>
      <c r="J7" s="6" t="n">
        <v>0.05</v>
      </c>
      <c r="K7" s="7">
        <f>IFERROR(VLOOKUP(G7,'Rate Library'!$C:$E,3,0),18.9)</f>
        <v/>
      </c>
      <c r="L7" s="6" t="n">
        <v>0.18</v>
      </c>
      <c r="M7" s="8" t="inlineStr">
        <is>
          <t>Yes</t>
        </is>
      </c>
      <c r="N7" s="9">
        <f>IFERROR(I7*K7*(1+J7)*(1+L7),0)</f>
        <v/>
      </c>
      <c r="O7" s="10">
        <f>IF(M7="Yes",N7*0.1,0)</f>
        <v/>
      </c>
      <c r="P7" s="9">
        <f>N7+O7</f>
        <v/>
      </c>
      <c r="Q7" s="3" t="inlineStr">
        <is>
          <t>Sika Australia</t>
        </is>
      </c>
      <c r="R7" s="4" t="inlineStr">
        <is>
          <t>08/04/2026</t>
        </is>
      </c>
      <c r="S7" s="3" t="inlineStr">
        <is>
          <t>Draft</t>
        </is>
      </c>
    </row>
    <row r="8" ht="22" customHeight="1">
      <c r="A8" s="11" t="n">
        <v>6</v>
      </c>
      <c r="B8" s="12" t="inlineStr">
        <is>
          <t>05/04/2026</t>
        </is>
      </c>
      <c r="C8" s="11" t="inlineStr">
        <is>
          <t>Alfresco Slab</t>
        </is>
      </c>
      <c r="D8" s="11" t="inlineStr">
        <is>
          <t>Liam Nguyen</t>
        </is>
      </c>
      <c r="E8" s="11" t="inlineStr">
        <is>
          <t>New Farm</t>
        </is>
      </c>
      <c r="F8" s="11" t="inlineStr">
        <is>
          <t>Brisbane</t>
        </is>
      </c>
      <c r="G8" s="11" t="inlineStr">
        <is>
          <t>Reinforcing Bar 12mm</t>
        </is>
      </c>
      <c r="H8" s="11" t="inlineStr">
        <is>
          <t>length</t>
        </is>
      </c>
      <c r="I8" s="5" t="n">
        <v>40</v>
      </c>
      <c r="J8" s="6" t="n">
        <v>0.07000000000000001</v>
      </c>
      <c r="K8" s="7">
        <f>IFERROR(VLOOKUP(G8,'Rate Library'!$C:$E,3,0),14.2)</f>
        <v/>
      </c>
      <c r="L8" s="6" t="n">
        <v>0.15</v>
      </c>
      <c r="M8" s="8" t="inlineStr">
        <is>
          <t>Yes</t>
        </is>
      </c>
      <c r="N8" s="13">
        <f>IFERROR(I8*K8*(1+J8)*(1+L8),0)</f>
        <v/>
      </c>
      <c r="O8" s="14">
        <f>IF(M8="Yes",N8*0.1,0)</f>
        <v/>
      </c>
      <c r="P8" s="13">
        <f>N8+O8</f>
        <v/>
      </c>
      <c r="Q8" s="11" t="inlineStr">
        <is>
          <t>InfraBuild</t>
        </is>
      </c>
      <c r="R8" s="12" t="inlineStr">
        <is>
          <t>08/04/2026</t>
        </is>
      </c>
      <c r="S8" s="11" t="inlineStr">
        <is>
          <t>Draft</t>
        </is>
      </c>
    </row>
    <row r="9" ht="22" customHeight="1">
      <c r="A9" s="3" t="n">
        <v>7</v>
      </c>
      <c r="B9" s="4" t="inlineStr">
        <is>
          <t>12/04/2026</t>
        </is>
      </c>
      <c r="C9" s="3" t="inlineStr">
        <is>
          <t>Shed Slab</t>
        </is>
      </c>
      <c r="D9" s="3" t="inlineStr">
        <is>
          <t>Charlotte Davis</t>
        </is>
      </c>
      <c r="E9" s="3" t="inlineStr">
        <is>
          <t>Subiaco</t>
        </is>
      </c>
      <c r="F9" s="3" t="inlineStr">
        <is>
          <t>Perth</t>
        </is>
      </c>
      <c r="G9" s="3" t="inlineStr">
        <is>
          <t>Plastic Sheeting</t>
        </is>
      </c>
      <c r="H9" s="3" t="inlineStr">
        <is>
          <t>roll</t>
        </is>
      </c>
      <c r="I9" s="5" t="n">
        <v>6</v>
      </c>
      <c r="J9" s="6" t="n">
        <v>0.03</v>
      </c>
      <c r="K9" s="7">
        <f>IFERROR(VLOOKUP(G9,'Rate Library'!$C:$E,3,0),42.0)</f>
        <v/>
      </c>
      <c r="L9" s="6" t="n">
        <v>0.1</v>
      </c>
      <c r="M9" s="8" t="inlineStr">
        <is>
          <t>Yes</t>
        </is>
      </c>
      <c r="N9" s="9">
        <f>IFERROR(I9*K9*(1+J9)*(1+L9),0)</f>
        <v/>
      </c>
      <c r="O9" s="10">
        <f>IF(M9="Yes",N9*0.1,0)</f>
        <v/>
      </c>
      <c r="P9" s="9">
        <f>N9+O9</f>
        <v/>
      </c>
      <c r="Q9" s="3" t="inlineStr">
        <is>
          <t>Bunnings Warehouse</t>
        </is>
      </c>
      <c r="R9" s="4" t="inlineStr">
        <is>
          <t>14/04/2026</t>
        </is>
      </c>
      <c r="S9" s="3" t="inlineStr">
        <is>
          <t>Sent</t>
        </is>
      </c>
    </row>
    <row r="10" ht="22" customHeight="1">
      <c r="A10" s="11" t="n">
        <v>8</v>
      </c>
      <c r="B10" s="12" t="inlineStr">
        <is>
          <t>12/04/2026</t>
        </is>
      </c>
      <c r="C10" s="11" t="inlineStr">
        <is>
          <t>Shed Slab</t>
        </is>
      </c>
      <c r="D10" s="11" t="inlineStr">
        <is>
          <t>Charlotte Davis</t>
        </is>
      </c>
      <c r="E10" s="11" t="inlineStr">
        <is>
          <t>Subiaco</t>
        </is>
      </c>
      <c r="F10" s="11" t="inlineStr">
        <is>
          <t>Perth</t>
        </is>
      </c>
      <c r="G10" s="11" t="inlineStr">
        <is>
          <t>Bar Chairs</t>
        </is>
      </c>
      <c r="H10" s="11" t="inlineStr">
        <is>
          <t>box</t>
        </is>
      </c>
      <c r="I10" s="5" t="n">
        <v>8</v>
      </c>
      <c r="J10" s="6" t="n">
        <v>0.05</v>
      </c>
      <c r="K10" s="7">
        <f>IFERROR(VLOOKUP(G10,'Rate Library'!$C:$E,3,0),22.5)</f>
        <v/>
      </c>
      <c r="L10" s="6" t="n">
        <v>0.1</v>
      </c>
      <c r="M10" s="8" t="inlineStr">
        <is>
          <t>Yes</t>
        </is>
      </c>
      <c r="N10" s="13">
        <f>IFERROR(I10*K10*(1+J10)*(1+L10),0)</f>
        <v/>
      </c>
      <c r="O10" s="14">
        <f>IF(M10="Yes",N10*0.1,0)</f>
        <v/>
      </c>
      <c r="P10" s="13">
        <f>N10+O10</f>
        <v/>
      </c>
      <c r="Q10" s="11" t="inlineStr">
        <is>
          <t>Reinforcing Bar Co.</t>
        </is>
      </c>
      <c r="R10" s="12" t="inlineStr">
        <is>
          <t>14/04/2026</t>
        </is>
      </c>
      <c r="S10" s="11" t="inlineStr">
        <is>
          <t>Sent</t>
        </is>
      </c>
    </row>
    <row r="11" ht="22" customHeight="1">
      <c r="A11" s="3" t="n">
        <v>9</v>
      </c>
      <c r="B11" s="4" t="inlineStr">
        <is>
          <t>20/04/2026</t>
        </is>
      </c>
      <c r="C11" s="3" t="inlineStr">
        <is>
          <t>Footpath Repair</t>
        </is>
      </c>
      <c r="D11" s="3" t="inlineStr">
        <is>
          <t>Noah Williams</t>
        </is>
      </c>
      <c r="E11" s="3" t="inlineStr">
        <is>
          <t>Braddon</t>
        </is>
      </c>
      <c r="F11" s="3" t="inlineStr">
        <is>
          <t>Canberra</t>
        </is>
      </c>
      <c r="G11" s="3" t="inlineStr">
        <is>
          <t>Concrete Pump Hire</t>
        </is>
      </c>
      <c r="H11" s="3" t="inlineStr">
        <is>
          <t>hour</t>
        </is>
      </c>
      <c r="I11" s="5" t="n">
        <v>4</v>
      </c>
      <c r="J11" s="6" t="n">
        <v>0</v>
      </c>
      <c r="K11" s="7">
        <f>IFERROR(VLOOKUP(G11,'Rate Library'!$C:$E,3,0),185.0)</f>
        <v/>
      </c>
      <c r="L11" s="6" t="n">
        <v>0.2</v>
      </c>
      <c r="M11" s="8" t="inlineStr">
        <is>
          <t>Yes</t>
        </is>
      </c>
      <c r="N11" s="9">
        <f>IFERROR(I11*K11*(1+J11)*(1+L11),0)</f>
        <v/>
      </c>
      <c r="O11" s="10">
        <f>IF(M11="Yes",N11*0.1,0)</f>
        <v/>
      </c>
      <c r="P11" s="9">
        <f>N11+O11</f>
        <v/>
      </c>
      <c r="Q11" s="3" t="inlineStr">
        <is>
          <t>Alliance Pumping</t>
        </is>
      </c>
      <c r="R11" s="4" t="inlineStr">
        <is>
          <t>20/04/2026</t>
        </is>
      </c>
      <c r="S11" s="3" t="inlineStr">
        <is>
          <t>Accepted</t>
        </is>
      </c>
    </row>
    <row r="12" ht="22" customHeight="1">
      <c r="A12" s="11" t="n">
        <v>10</v>
      </c>
      <c r="B12" s="12" t="inlineStr">
        <is>
          <t>28/04/2026</t>
        </is>
      </c>
      <c r="C12" s="11" t="inlineStr">
        <is>
          <t>Retaining Wall Footing</t>
        </is>
      </c>
      <c r="D12" s="11" t="inlineStr">
        <is>
          <t>Mia Thompson</t>
        </is>
      </c>
      <c r="E12" s="11" t="inlineStr">
        <is>
          <t>Broadbeach</t>
        </is>
      </c>
      <c r="F12" s="11" t="inlineStr">
        <is>
          <t>Gold Coast</t>
        </is>
      </c>
      <c r="G12" s="11" t="inlineStr">
        <is>
          <t>Exposed Aggregate Additive</t>
        </is>
      </c>
      <c r="H12" s="11" t="inlineStr">
        <is>
          <t>kg</t>
        </is>
      </c>
      <c r="I12" s="5" t="n">
        <v>25</v>
      </c>
      <c r="J12" s="6" t="n">
        <v>0.08</v>
      </c>
      <c r="K12" s="7">
        <f>IFERROR(VLOOKUP(G12,'Rate Library'!$C:$E,3,0),11.6)</f>
        <v/>
      </c>
      <c r="L12" s="6" t="n">
        <v>0.15</v>
      </c>
      <c r="M12" s="8" t="inlineStr">
        <is>
          <t>Yes</t>
        </is>
      </c>
      <c r="N12" s="13">
        <f>IFERROR(I12*K12*(1+J12)*(1+L12),0)</f>
        <v/>
      </c>
      <c r="O12" s="14">
        <f>IF(M12="Yes",N12*0.1,0)</f>
        <v/>
      </c>
      <c r="P12" s="13">
        <f>N12+O12</f>
        <v/>
      </c>
      <c r="Q12" s="11" t="inlineStr">
        <is>
          <t>Sika Australia</t>
        </is>
      </c>
      <c r="R12" s="12" t="inlineStr">
        <is>
          <t>02/05/2026</t>
        </is>
      </c>
      <c r="S12" s="11" t="inlineStr">
        <is>
          <t>Draft</t>
        </is>
      </c>
    </row>
    <row r="13" ht="24" customHeight="1">
      <c r="A13" s="15" t="n"/>
      <c r="B13" s="15" t="n"/>
      <c r="C13" s="15" t="n"/>
      <c r="D13" s="15" t="n"/>
      <c r="E13" s="15" t="n"/>
      <c r="F13" s="15" t="n"/>
      <c r="G13" s="16" t="inlineStr">
        <is>
          <t>TOTALS / AVERAGES</t>
        </is>
      </c>
      <c r="H13" s="15" t="n"/>
      <c r="I13" s="17">
        <f>SUM(I3:I12)</f>
        <v/>
      </c>
      <c r="J13" s="18">
        <f>IFERROR(AVERAGE(J3:J12),0)</f>
        <v/>
      </c>
      <c r="K13" s="19">
        <f>IFERROR(AVERAGE(K3:K12),0)</f>
        <v/>
      </c>
      <c r="L13" s="18">
        <f>IFERROR(AVERAGE(L3:L12),0)</f>
        <v/>
      </c>
      <c r="M13" s="15" t="n"/>
      <c r="N13" s="19">
        <f>SUM(N3:N12)</f>
        <v/>
      </c>
      <c r="O13" s="19">
        <f>SUM(O3:O12)</f>
        <v/>
      </c>
      <c r="P13" s="19">
        <f>SUM(P3:P12)</f>
        <v/>
      </c>
      <c r="Q13" s="15" t="n"/>
      <c r="R13" s="15" t="n"/>
      <c r="S13" s="15" t="n"/>
    </row>
    <row r="14"/>
    <row r="15">
      <c r="A15" s="20" t="inlineStr">
        <is>
          <t>Status Count:</t>
        </is>
      </c>
      <c r="B15" s="21" t="inlineStr">
        <is>
          <t>Draft</t>
        </is>
      </c>
      <c r="C15" s="21" t="inlineStr">
        <is>
          <t>Sent</t>
        </is>
      </c>
      <c r="D15" s="21" t="inlineStr">
        <is>
          <t>Accepted</t>
        </is>
      </c>
      <c r="E15" s="21" t="inlineStr">
        <is>
          <t>Cancelled</t>
        </is>
      </c>
    </row>
    <row r="16">
      <c r="B16" s="22">
        <f>COUNTIF(S3:S12,"Draft")</f>
        <v/>
      </c>
      <c r="C16" s="22">
        <f>COUNTIF(S3:S12,"Sent")</f>
        <v/>
      </c>
      <c r="D16" s="22">
        <f>COUNTIF(S3:S12,"Accepted")</f>
        <v/>
      </c>
      <c r="E16" s="22">
        <f>COUNTIF(S3:S12,"Cancelled")</f>
        <v/>
      </c>
    </row>
  </sheetData>
  <mergeCells count="1">
    <mergeCell ref="A1:S1"/>
  </mergeCells>
  <dataValidations count="2">
    <dataValidation sqref="M3:M50" showErrorMessage="1" showInputMessage="1" allowBlank="0" type="list">
      <formula1>"Yes,No"</formula1>
    </dataValidation>
    <dataValidation sqref="S3:S50" showErrorMessage="1" showInputMessage="1" allowBlank="0" type="list">
      <formula1>"Draft,Sent,Accepted,Cancelled"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4" customWidth="1" min="4" max="4"/>
    <col width="4" customWidth="1" min="5" max="5"/>
    <col width="18" customWidth="1" min="6" max="6"/>
    <col width="16" customWidth="1" min="7" max="7"/>
  </cols>
  <sheetData>
    <row r="1" ht="36" customHeight="1">
      <c r="A1" s="1" t="inlineStr">
        <is>
          <t>CONCRETE JOB — QUOTE SUMMARY</t>
        </is>
      </c>
    </row>
    <row r="2" ht="22" customHeight="1">
      <c r="A2" s="23" t="inlineStr">
        <is>
          <t>Quote No.</t>
        </is>
      </c>
      <c r="B2" s="24" t="inlineStr">
        <is>
          <t>QTE-2026-047</t>
        </is>
      </c>
    </row>
    <row r="3" ht="22" customHeight="1">
      <c r="A3" s="23" t="inlineStr">
        <is>
          <t>Project Name</t>
        </is>
      </c>
      <c r="B3" s="24" t="inlineStr">
        <is>
          <t>Residential Slab Pour — Parramatta</t>
        </is>
      </c>
    </row>
    <row r="4" ht="22" customHeight="1">
      <c r="A4" s="23" t="inlineStr">
        <is>
          <t>Client Name</t>
        </is>
      </c>
      <c r="B4" s="24" t="inlineStr">
        <is>
          <t>Jack Morrison</t>
        </is>
      </c>
    </row>
    <row r="5" ht="22" customHeight="1">
      <c r="A5" s="23" t="inlineStr">
        <is>
          <t>Date</t>
        </is>
      </c>
      <c r="B5" s="25" t="inlineStr">
        <is>
          <t>15/03/2026</t>
        </is>
      </c>
    </row>
    <row r="6" ht="22" customHeight="1">
      <c r="A6" s="23" t="inlineStr">
        <is>
          <t>Suburb / City</t>
        </is>
      </c>
      <c r="B6" s="24" t="inlineStr">
        <is>
          <t>Parramatta, Sydney</t>
        </is>
      </c>
    </row>
    <row r="7" ht="22" customHeight="1">
      <c r="A7" s="23" t="inlineStr">
        <is>
          <t>Status</t>
        </is>
      </c>
      <c r="B7" s="24" t="inlineStr">
        <is>
          <t>Sent</t>
        </is>
      </c>
    </row>
    <row r="8" ht="22" customHeight="1">
      <c r="A8" s="23" t="inlineStr">
        <is>
          <t>Acceptance Date</t>
        </is>
      </c>
      <c r="B8" s="24" t="inlineStr"/>
    </row>
    <row r="9"/>
    <row r="10"/>
    <row r="11" ht="26" customHeight="1">
      <c r="A11" s="26" t="inlineStr">
        <is>
          <t>COST BREAKDOWN</t>
        </is>
      </c>
      <c r="C11" s="26" t="inlineStr">
        <is>
          <t>Amount Ex GST</t>
        </is>
      </c>
    </row>
    <row r="12" ht="22" customHeight="1">
      <c r="A12" s="3" t="inlineStr">
        <is>
          <t>Total Materials Ex GST</t>
        </is>
      </c>
      <c r="B12" s="27" t="n"/>
      <c r="C12" s="28">
        <f>IFERROR(SUM('Materials Estimate'!N3:N12),0)</f>
        <v/>
      </c>
      <c r="D12" s="27" t="n"/>
    </row>
    <row r="13" ht="22" customHeight="1">
      <c r="A13" s="11" t="inlineStr">
        <is>
          <t>Labour Estimate Ex GST</t>
        </is>
      </c>
      <c r="B13" s="27" t="n"/>
      <c r="C13" s="7" t="n">
        <v>12800</v>
      </c>
      <c r="D13" s="27" t="n"/>
    </row>
    <row r="14" ht="22" customHeight="1">
      <c r="A14" s="3" t="inlineStr">
        <is>
          <t>Equipment Hire Ex GST</t>
        </is>
      </c>
      <c r="B14" s="27" t="n"/>
      <c r="C14" s="7" t="n">
        <v>3200</v>
      </c>
      <c r="D14" s="27" t="n"/>
    </row>
    <row r="15" ht="22" customHeight="1">
      <c r="A15" s="11" t="inlineStr">
        <is>
          <t>Subcontractor Allowance</t>
        </is>
      </c>
      <c r="B15" s="27" t="n"/>
      <c r="C15" s="7" t="n">
        <v>1500</v>
      </c>
      <c r="D15" s="27" t="n"/>
    </row>
    <row r="16" ht="24" customHeight="1">
      <c r="A16" s="29" t="inlineStr">
        <is>
          <t>Subtotal Ex GST</t>
        </is>
      </c>
      <c r="B16" s="27" t="n"/>
      <c r="C16" s="30">
        <f>IFERROR(C12+C13+C14+C15,0)</f>
        <v/>
      </c>
      <c r="D16" s="27" t="n"/>
    </row>
    <row r="17" ht="22" customHeight="1">
      <c r="A17" s="31" t="inlineStr">
        <is>
          <t>GST (10%)</t>
        </is>
      </c>
      <c r="B17" s="27" t="n"/>
      <c r="C17" s="32">
        <f>IFERROR(C16*0.1,0)</f>
        <v/>
      </c>
      <c r="D17" s="27" t="n"/>
    </row>
    <row r="18" ht="26" customHeight="1">
      <c r="A18" s="33" t="inlineStr">
        <is>
          <t>QUOTE TOTAL INC GST</t>
        </is>
      </c>
      <c r="B18" s="27" t="n"/>
      <c r="C18" s="34">
        <f>IFERROR(C16+C17,0)</f>
        <v/>
      </c>
      <c r="D18" s="27" t="n"/>
    </row>
    <row r="19" ht="22" customHeight="1">
      <c r="A19" s="29" t="inlineStr">
        <is>
          <t>Expected Margin %</t>
        </is>
      </c>
      <c r="B19" s="27" t="n"/>
      <c r="C19" s="35">
        <f>IFERROR((C18-C16+(C18-C16))/C18*100,0)</f>
        <v/>
      </c>
      <c r="D19" s="27" t="n"/>
    </row>
    <row r="20" ht="22" customHeight="1">
      <c r="A20" s="29" t="inlineStr">
        <is>
          <t>Expected Profit $</t>
        </is>
      </c>
      <c r="B20" s="27" t="n"/>
      <c r="C20" s="36">
        <f>IFERROR(C18-(C12+C13+C14+C15),0)</f>
        <v/>
      </c>
      <c r="D20" s="27" t="n"/>
    </row>
    <row r="21" ht="22" customHeight="1">
      <c r="A21" s="37">
        <f>IF(IFERROR(C20/C16,0)&lt;0.25,"⚠ Margin below 25% target — review pricing","✔ Margin within acceptable range")</f>
        <v/>
      </c>
      <c r="B21" s="56" t="n"/>
      <c r="C21" s="56" t="n"/>
      <c r="D21" s="27" t="n"/>
    </row>
    <row r="22"/>
    <row r="23" ht="28" customHeight="1">
      <c r="A23" s="38" t="inlineStr">
        <is>
          <t>QUOTE DASHBOARD</t>
        </is>
      </c>
    </row>
    <row r="24" ht="22" customHeight="1">
      <c r="A24" s="39" t="inlineStr">
        <is>
          <t>Total Estimate Value</t>
        </is>
      </c>
      <c r="B24" s="27" t="n"/>
      <c r="C24" s="40">
        <f>IFERROR(C18,0)</f>
        <v/>
      </c>
      <c r="D24" s="27" t="n"/>
    </row>
    <row r="25" ht="22" customHeight="1">
      <c r="A25" s="41" t="inlineStr">
        <is>
          <t>Total GST</t>
        </is>
      </c>
      <c r="B25" s="27" t="n"/>
      <c r="C25" s="42">
        <f>IFERROR(C17,0)</f>
        <v/>
      </c>
      <c r="D25" s="27" t="n"/>
    </row>
    <row r="26" ht="22" customHeight="1">
      <c r="A26" s="39" t="inlineStr">
        <is>
          <t>Average Markup %</t>
        </is>
      </c>
      <c r="B26" s="27" t="n"/>
      <c r="C26" s="43">
        <f>IFERROR(AVERAGE('Materials Estimate'!L3:L12),0)</f>
        <v/>
      </c>
      <c r="D26" s="27" t="n"/>
    </row>
    <row r="27" ht="22" customHeight="1">
      <c r="A27" s="41" t="inlineStr">
        <is>
          <t>Number of Line Items</t>
        </is>
      </c>
      <c r="B27" s="27" t="n"/>
      <c r="C27" s="44">
        <f>COUNTA('Materials Estimate'!A3:A12)</f>
        <v/>
      </c>
      <c r="D27" s="27" t="n"/>
    </row>
    <row r="28" ht="22" customHeight="1">
      <c r="A28" s="39" t="inlineStr">
        <is>
          <t>Accepted Quotes</t>
        </is>
      </c>
      <c r="B28" s="27" t="n"/>
      <c r="C28" s="45">
        <f>COUNTIF('Materials Estimate'!S3:S12,"Accepted")</f>
        <v/>
      </c>
      <c r="D28" s="27" t="n"/>
    </row>
    <row r="29"/>
    <row r="30"/>
    <row r="31">
      <c r="F31" s="2" t="inlineStr">
        <is>
          <t>Category</t>
        </is>
      </c>
      <c r="G31" s="2" t="inlineStr">
        <is>
          <t>Amount</t>
        </is>
      </c>
    </row>
    <row r="32">
      <c r="F32" s="46" t="inlineStr">
        <is>
          <t>Materials</t>
        </is>
      </c>
      <c r="G32" s="47">
        <f>IFERROR(C12,0)</f>
        <v/>
      </c>
    </row>
    <row r="33">
      <c r="F33" s="46" t="inlineStr">
        <is>
          <t>Labour</t>
        </is>
      </c>
      <c r="G33" s="47">
        <f>IFERROR(C13,0)</f>
        <v/>
      </c>
    </row>
    <row r="34">
      <c r="F34" s="46" t="inlineStr">
        <is>
          <t>Equipment</t>
        </is>
      </c>
      <c r="G34" s="47">
        <f>IFERROR(C14,0)</f>
        <v/>
      </c>
    </row>
    <row r="35">
      <c r="F35" s="46" t="inlineStr">
        <is>
          <t>Subcontractors</t>
        </is>
      </c>
      <c r="G35" s="47">
        <f>IFERROR(C15,0)</f>
        <v/>
      </c>
    </row>
  </sheetData>
  <mergeCells count="33">
    <mergeCell ref="A1:F1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D21"/>
    <mergeCell ref="A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8" customWidth="1" min="3" max="3"/>
    <col width="8" customWidth="1" min="4" max="4"/>
    <col width="18" customWidth="1" min="5" max="5"/>
    <col width="15" customWidth="1" min="6" max="6"/>
    <col width="22" customWidth="1" min="7" max="7"/>
    <col width="14" customWidth="1" min="8" max="8"/>
    <col width="34" customWidth="1" min="9" max="9"/>
  </cols>
  <sheetData>
    <row r="1" ht="34" customHeight="1">
      <c r="A1" s="48" t="inlineStr">
        <is>
          <t>CONCRETER RATE LIBRARY — MATERIALS, LABOUR &amp; EQUIPMENT</t>
        </is>
      </c>
    </row>
    <row r="2" ht="32" customHeight="1">
      <c r="A2" s="2" t="inlineStr">
        <is>
          <t>Rate Code</t>
        </is>
      </c>
      <c r="B2" s="2" t="inlineStr">
        <is>
          <t>Category</t>
        </is>
      </c>
      <c r="C2" s="2" t="inlineStr">
        <is>
          <t>Description</t>
        </is>
      </c>
      <c r="D2" s="2" t="inlineStr">
        <is>
          <t>Unit</t>
        </is>
      </c>
      <c r="E2" s="2" t="inlineStr">
        <is>
          <t>Base Rate Ex GST</t>
        </is>
      </c>
      <c r="F2" s="2" t="inlineStr">
        <is>
          <t>GST Applicable?</t>
        </is>
      </c>
      <c r="G2" s="2" t="inlineStr">
        <is>
          <t>Supplier</t>
        </is>
      </c>
      <c r="H2" s="2" t="inlineStr">
        <is>
          <t>Last Updated</t>
        </is>
      </c>
      <c r="I2" s="2" t="inlineStr">
        <is>
          <t>Notes</t>
        </is>
      </c>
    </row>
    <row r="3" ht="22" customHeight="1">
      <c r="A3" s="49" t="inlineStr">
        <is>
          <t>CONC25</t>
        </is>
      </c>
      <c r="B3" s="49" t="inlineStr">
        <is>
          <t>Material</t>
        </is>
      </c>
      <c r="C3" s="3" t="inlineStr">
        <is>
          <t>Premix Concrete 25MPa</t>
        </is>
      </c>
      <c r="D3" s="49" t="inlineStr">
        <is>
          <t>m³</t>
        </is>
      </c>
      <c r="E3" s="50" t="n">
        <v>245</v>
      </c>
      <c r="F3" s="8" t="inlineStr">
        <is>
          <t>Yes</t>
        </is>
      </c>
      <c r="G3" s="3" t="inlineStr">
        <is>
          <t>Boral Concrete</t>
        </is>
      </c>
      <c r="H3" s="51" t="inlineStr">
        <is>
          <t>01/03/2026</t>
        </is>
      </c>
      <c r="I3" s="3" t="inlineStr">
        <is>
          <t>Standard residential slab mix</t>
        </is>
      </c>
    </row>
    <row r="4" ht="22" customHeight="1">
      <c r="A4" s="52" t="inlineStr">
        <is>
          <t>REO72</t>
        </is>
      </c>
      <c r="B4" s="52" t="inlineStr">
        <is>
          <t>Material</t>
        </is>
      </c>
      <c r="C4" s="11" t="inlineStr">
        <is>
          <t>Reinforcing Mesh SL72</t>
        </is>
      </c>
      <c r="D4" s="52" t="inlineStr">
        <is>
          <t>sheet</t>
        </is>
      </c>
      <c r="E4" s="50" t="n">
        <v>38.5</v>
      </c>
      <c r="F4" s="8" t="inlineStr">
        <is>
          <t>Yes</t>
        </is>
      </c>
      <c r="G4" s="11" t="inlineStr">
        <is>
          <t>InfraBuild</t>
        </is>
      </c>
      <c r="H4" s="53" t="inlineStr">
        <is>
          <t>01/03/2026</t>
        </is>
      </c>
      <c r="I4" s="11" t="inlineStr">
        <is>
          <t>2.4m x 6.0m sheet</t>
        </is>
      </c>
    </row>
    <row r="5" ht="22" customHeight="1">
      <c r="A5" s="49" t="inlineStr">
        <is>
          <t>REOB12</t>
        </is>
      </c>
      <c r="B5" s="49" t="inlineStr">
        <is>
          <t>Material</t>
        </is>
      </c>
      <c r="C5" s="3" t="inlineStr">
        <is>
          <t>Reinforcing Bar 12mm</t>
        </is>
      </c>
      <c r="D5" s="49" t="inlineStr">
        <is>
          <t>length</t>
        </is>
      </c>
      <c r="E5" s="50" t="n">
        <v>14.2</v>
      </c>
      <c r="F5" s="8" t="inlineStr">
        <is>
          <t>Yes</t>
        </is>
      </c>
      <c r="G5" s="3" t="inlineStr">
        <is>
          <t>InfraBuild</t>
        </is>
      </c>
      <c r="H5" s="51" t="inlineStr">
        <is>
          <t>01/03/2026</t>
        </is>
      </c>
      <c r="I5" s="3" t="inlineStr">
        <is>
          <t>6m length, deformed bar</t>
        </is>
      </c>
    </row>
    <row r="6" ht="22" customHeight="1">
      <c r="A6" s="52" t="inlineStr">
        <is>
          <t>FORMTIM</t>
        </is>
      </c>
      <c r="B6" s="52" t="inlineStr">
        <is>
          <t>Material</t>
        </is>
      </c>
      <c r="C6" s="11" t="inlineStr">
        <is>
          <t>Formwork Timber</t>
        </is>
      </c>
      <c r="D6" s="52" t="inlineStr">
        <is>
          <t>lm</t>
        </is>
      </c>
      <c r="E6" s="50" t="n">
        <v>12.8</v>
      </c>
      <c r="F6" s="8" t="inlineStr">
        <is>
          <t>Yes</t>
        </is>
      </c>
      <c r="G6" s="11" t="inlineStr">
        <is>
          <t>Bowens Timber</t>
        </is>
      </c>
      <c r="H6" s="53" t="inlineStr">
        <is>
          <t>15/02/2026</t>
        </is>
      </c>
      <c r="I6" s="11" t="inlineStr">
        <is>
          <t>90x45mm DAR pine</t>
        </is>
      </c>
    </row>
    <row r="7" ht="22" customHeight="1">
      <c r="A7" s="49" t="inlineStr">
        <is>
          <t>CRDUST</t>
        </is>
      </c>
      <c r="B7" s="49" t="inlineStr">
        <is>
          <t>Material</t>
        </is>
      </c>
      <c r="C7" s="3" t="inlineStr">
        <is>
          <t>Crusher Dust</t>
        </is>
      </c>
      <c r="D7" s="49" t="inlineStr">
        <is>
          <t>tonne</t>
        </is>
      </c>
      <c r="E7" s="50" t="n">
        <v>65</v>
      </c>
      <c r="F7" s="8" t="inlineStr">
        <is>
          <t>Yes</t>
        </is>
      </c>
      <c r="G7" s="3" t="inlineStr">
        <is>
          <t>Hanson Australia</t>
        </is>
      </c>
      <c r="H7" s="51" t="inlineStr">
        <is>
          <t>01/03/2026</t>
        </is>
      </c>
      <c r="I7" s="3" t="inlineStr">
        <is>
          <t>Compacted sub-base layer</t>
        </is>
      </c>
    </row>
    <row r="8" ht="22" customHeight="1">
      <c r="A8" s="52" t="inlineStr">
        <is>
          <t>CURECMP</t>
        </is>
      </c>
      <c r="B8" s="52" t="inlineStr">
        <is>
          <t>Material</t>
        </is>
      </c>
      <c r="C8" s="11" t="inlineStr">
        <is>
          <t>Curing Compound</t>
        </is>
      </c>
      <c r="D8" s="52" t="inlineStr">
        <is>
          <t>L</t>
        </is>
      </c>
      <c r="E8" s="50" t="n">
        <v>18.9</v>
      </c>
      <c r="F8" s="8" t="inlineStr">
        <is>
          <t>Yes</t>
        </is>
      </c>
      <c r="G8" s="11" t="inlineStr">
        <is>
          <t>Sika Australia</t>
        </is>
      </c>
      <c r="H8" s="53" t="inlineStr">
        <is>
          <t>10/02/2026</t>
        </is>
      </c>
      <c r="I8" s="11" t="inlineStr">
        <is>
          <t>Spray-applied membrane</t>
        </is>
      </c>
    </row>
    <row r="9" ht="22" customHeight="1">
      <c r="A9" s="49" t="inlineStr">
        <is>
          <t>PUMPHR</t>
        </is>
      </c>
      <c r="B9" s="49" t="inlineStr">
        <is>
          <t>Equipment</t>
        </is>
      </c>
      <c r="C9" s="3" t="inlineStr">
        <is>
          <t>Concrete Pump Hire</t>
        </is>
      </c>
      <c r="D9" s="49" t="inlineStr">
        <is>
          <t>hour</t>
        </is>
      </c>
      <c r="E9" s="50" t="n">
        <v>185</v>
      </c>
      <c r="F9" s="8" t="inlineStr">
        <is>
          <t>Yes</t>
        </is>
      </c>
      <c r="G9" s="3" t="inlineStr">
        <is>
          <t>Alliance Pumping</t>
        </is>
      </c>
      <c r="H9" s="51" t="inlineStr">
        <is>
          <t>01/03/2026</t>
        </is>
      </c>
      <c r="I9" s="3" t="inlineStr">
        <is>
          <t>Min 4 hr hire, incl. operator</t>
        </is>
      </c>
    </row>
    <row r="10" ht="22" customHeight="1">
      <c r="A10" s="52" t="inlineStr">
        <is>
          <t>BARCHAIR</t>
        </is>
      </c>
      <c r="B10" s="52" t="inlineStr">
        <is>
          <t>Material</t>
        </is>
      </c>
      <c r="C10" s="11" t="inlineStr">
        <is>
          <t>Bar Chairs</t>
        </is>
      </c>
      <c r="D10" s="52" t="inlineStr">
        <is>
          <t>box</t>
        </is>
      </c>
      <c r="E10" s="50" t="n">
        <v>22.5</v>
      </c>
      <c r="F10" s="8" t="inlineStr">
        <is>
          <t>Yes</t>
        </is>
      </c>
      <c r="G10" s="11" t="inlineStr">
        <is>
          <t>Reinforcing Bar Co.</t>
        </is>
      </c>
      <c r="H10" s="53" t="inlineStr">
        <is>
          <t>20/02/2026</t>
        </is>
      </c>
      <c r="I10" s="11" t="inlineStr">
        <is>
          <t>75mm plastic, box of 100</t>
        </is>
      </c>
    </row>
    <row r="11" ht="22" customHeight="1">
      <c r="A11" s="49" t="inlineStr">
        <is>
          <t>PLASTIC</t>
        </is>
      </c>
      <c r="B11" s="49" t="inlineStr">
        <is>
          <t>Material</t>
        </is>
      </c>
      <c r="C11" s="3" t="inlineStr">
        <is>
          <t>Plastic Sheeting</t>
        </is>
      </c>
      <c r="D11" s="49" t="inlineStr">
        <is>
          <t>roll</t>
        </is>
      </c>
      <c r="E11" s="50" t="n">
        <v>42</v>
      </c>
      <c r="F11" s="8" t="inlineStr">
        <is>
          <t>Yes</t>
        </is>
      </c>
      <c r="G11" s="3" t="inlineStr">
        <is>
          <t>Bunnings Warehouse</t>
        </is>
      </c>
      <c r="H11" s="51" t="inlineStr">
        <is>
          <t>01/03/2026</t>
        </is>
      </c>
      <c r="I11" s="3" t="inlineStr">
        <is>
          <t>200 micron, 4m x 25m roll</t>
        </is>
      </c>
    </row>
    <row r="12" ht="22" customHeight="1">
      <c r="A12" s="52" t="inlineStr">
        <is>
          <t>ADDXP</t>
        </is>
      </c>
      <c r="B12" s="52" t="inlineStr">
        <is>
          <t>Material</t>
        </is>
      </c>
      <c r="C12" s="11" t="inlineStr">
        <is>
          <t>Exposed Aggregate Additive</t>
        </is>
      </c>
      <c r="D12" s="52" t="inlineStr">
        <is>
          <t>kg</t>
        </is>
      </c>
      <c r="E12" s="50" t="n">
        <v>11.6</v>
      </c>
      <c r="F12" s="8" t="inlineStr">
        <is>
          <t>Yes</t>
        </is>
      </c>
      <c r="G12" s="11" t="inlineStr">
        <is>
          <t>Sika Australia</t>
        </is>
      </c>
      <c r="H12" s="53" t="inlineStr">
        <is>
          <t>10/02/2026</t>
        </is>
      </c>
      <c r="I12" s="11" t="inlineStr">
        <is>
          <t>Surface retarder chemical</t>
        </is>
      </c>
    </row>
    <row r="13" ht="24" customHeight="1">
      <c r="A13" s="15" t="n"/>
      <c r="B13" s="15" t="n"/>
      <c r="C13" s="16" t="inlineStr">
        <is>
          <t>AVERAGE BASE RATE</t>
        </is>
      </c>
      <c r="D13" s="15" t="n"/>
      <c r="E13" s="19">
        <f>IFERROR(AVERAGE(E3:E12),0)</f>
        <v/>
      </c>
      <c r="F13" s="15" t="n"/>
      <c r="G13" s="15" t="n"/>
      <c r="H13" s="15" t="n"/>
      <c r="I13" s="15" t="n"/>
    </row>
  </sheetData>
  <mergeCells count="1">
    <mergeCell ref="A1:I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showGridLines="0" workbookViewId="0">
      <selection activeCell="A1" sqref="A1"/>
    </sheetView>
  </sheetViews>
  <sheetFormatPr baseColWidth="8" defaultRowHeight="15"/>
  <cols>
    <col width="90" customWidth="1" min="1" max="1"/>
  </cols>
  <sheetData>
    <row r="1" ht="38" customHeight="1">
      <c r="A1" s="1" t="inlineStr">
        <is>
          <t>HOW TO USE THIS WORKBOOK — CONCRETER MATERIALS ESTIMATE</t>
        </is>
      </c>
    </row>
    <row r="2" ht="26" customHeight="1">
      <c r="A2" s="54" t="inlineStr">
        <is>
          <t>SHEET 1 — MATERIALS ESTIMATE</t>
        </is>
      </c>
      <c r="B2" s="56" t="n"/>
      <c r="C2" s="56" t="n"/>
      <c r="D2" s="56" t="n"/>
      <c r="E2" s="27" t="n"/>
    </row>
    <row r="3" ht="20" customHeight="1">
      <c r="A3" s="11" t="inlineStr">
        <is>
          <t>• Enter job details: project name, client name, site suburb and city in columns C–F.</t>
        </is>
      </c>
      <c r="B3" s="56" t="n"/>
      <c r="C3" s="56" t="n"/>
      <c r="D3" s="56" t="n"/>
      <c r="E3" s="27" t="n"/>
    </row>
    <row r="4" ht="20" customHeight="1">
      <c r="A4" s="3" t="inlineStr">
        <is>
          <t>• Select the Material Type from column G. The Base Unit Rate (col K) will auto-fill via VLOOKUP from the Rate Library.</t>
        </is>
      </c>
      <c r="B4" s="56" t="n"/>
      <c r="C4" s="56" t="n"/>
      <c r="D4" s="56" t="n"/>
      <c r="E4" s="27" t="n"/>
    </row>
    <row r="5" ht="20" customHeight="1">
      <c r="A5" s="11" t="inlineStr">
        <is>
          <t>• Enter the Quantity (col I), Wastage % (col J), and Markup % (col L) for each line item.</t>
        </is>
      </c>
      <c r="B5" s="56" t="n"/>
      <c r="C5" s="56" t="n"/>
      <c r="D5" s="56" t="n"/>
      <c r="E5" s="27" t="n"/>
    </row>
    <row r="6" ht="20" customHeight="1">
      <c r="A6" s="3" t="inlineStr">
        <is>
          <t>• Total Ex GST (col N) is calculated automatically: Qty × Rate × (1 + Wastage%) × (1 + Markup%).</t>
        </is>
      </c>
      <c r="B6" s="56" t="n"/>
      <c r="C6" s="56" t="n"/>
      <c r="D6" s="56" t="n"/>
      <c r="E6" s="27" t="n"/>
    </row>
    <row r="7" ht="20" customHeight="1">
      <c r="A7" s="11" t="inlineStr">
        <is>
          <t>• GST Amount (col O) applies 10% GST if col M is set to 'Yes'. Totals Inc GST appear in col P.</t>
        </is>
      </c>
      <c r="B7" s="56" t="n"/>
      <c r="C7" s="56" t="n"/>
      <c r="D7" s="56" t="n"/>
      <c r="E7" s="27" t="n"/>
    </row>
    <row r="8" ht="20" customHeight="1">
      <c r="A8" s="3" t="inlineStr">
        <is>
          <t>• Set the Status (col S) using the dropdown: Draft / Sent / Accepted / Cancelled.</t>
        </is>
      </c>
      <c r="B8" s="56" t="n"/>
      <c r="C8" s="56" t="n"/>
      <c r="D8" s="56" t="n"/>
      <c r="E8" s="27" t="n"/>
    </row>
    <row r="9" ht="20" customHeight="1">
      <c r="A9" s="11" t="inlineStr">
        <is>
          <t>• All dates must be entered in Australian format: DD/MM/YYYY.</t>
        </is>
      </c>
      <c r="B9" s="56" t="n"/>
      <c r="C9" s="56" t="n"/>
      <c r="D9" s="56" t="n"/>
      <c r="E9" s="27" t="n"/>
    </row>
    <row r="10" ht="10" customHeight="1"/>
    <row r="11" ht="26" customHeight="1">
      <c r="A11" s="54" t="inlineStr">
        <is>
          <t>SHEET 2 — QUOTE SUMMARY</t>
        </is>
      </c>
      <c r="B11" s="56" t="n"/>
      <c r="C11" s="56" t="n"/>
      <c r="D11" s="56" t="n"/>
      <c r="E11" s="27" t="n"/>
    </row>
    <row r="12" ht="20" customHeight="1">
      <c r="A12" s="3" t="inlineStr">
        <is>
          <t>• Review the cost breakdown: Materials, Labour, Equipment, and Subcontractor Allowance.</t>
        </is>
      </c>
      <c r="B12" s="56" t="n"/>
      <c r="C12" s="56" t="n"/>
      <c r="D12" s="56" t="n"/>
      <c r="E12" s="27" t="n"/>
    </row>
    <row r="13" ht="20" customHeight="1">
      <c r="A13" s="11" t="inlineStr">
        <is>
          <t>• Labour and Equipment values (rows 13–14) are manually entered estimates.</t>
        </is>
      </c>
      <c r="B13" s="56" t="n"/>
      <c r="C13" s="56" t="n"/>
      <c r="D13" s="56" t="n"/>
      <c r="E13" s="27" t="n"/>
    </row>
    <row r="14" ht="20" customHeight="1">
      <c r="A14" s="3" t="inlineStr">
        <is>
          <t>• GST is calculated at 10% on the Subtotal Ex GST — consistent with Australian Tax Office (ATO) requirements.</t>
        </is>
      </c>
      <c r="B14" s="56" t="n"/>
      <c r="C14" s="56" t="n"/>
      <c r="D14" s="56" t="n"/>
      <c r="E14" s="27" t="n"/>
    </row>
    <row r="15" ht="20" customHeight="1">
      <c r="A15" s="11" t="inlineStr">
        <is>
          <t>• A margin warning flag alerts you if the expected margin falls below 25%.</t>
        </is>
      </c>
      <c r="B15" s="56" t="n"/>
      <c r="C15" s="56" t="n"/>
      <c r="D15" s="56" t="n"/>
      <c r="E15" s="27" t="n"/>
    </row>
    <row r="16" ht="20" customHeight="1">
      <c r="A16" s="3" t="inlineStr">
        <is>
          <t>• The pie chart shows the proportional cost composition of the quote.</t>
        </is>
      </c>
      <c r="B16" s="56" t="n"/>
      <c r="C16" s="56" t="n"/>
      <c r="D16" s="56" t="n"/>
      <c r="E16" s="27" t="n"/>
    </row>
    <row r="17" ht="20" customHeight="1">
      <c r="A17" s="11" t="inlineStr">
        <is>
          <t>• Quote No., Client Name, and Status can be updated for each new job.</t>
        </is>
      </c>
      <c r="B17" s="56" t="n"/>
      <c r="C17" s="56" t="n"/>
      <c r="D17" s="56" t="n"/>
      <c r="E17" s="27" t="n"/>
    </row>
    <row r="18" ht="10" customHeight="1"/>
    <row r="19" ht="26" customHeight="1">
      <c r="A19" s="54" t="inlineStr">
        <is>
          <t>SHEET 3 — RATE LIBRARY</t>
        </is>
      </c>
      <c r="B19" s="56" t="n"/>
      <c r="C19" s="56" t="n"/>
      <c r="D19" s="56" t="n"/>
      <c r="E19" s="27" t="n"/>
    </row>
    <row r="20" ht="20" customHeight="1">
      <c r="A20" s="3" t="inlineStr">
        <is>
          <t>• This sheet acts as a lookup table. Do NOT change the Description column (col C) as it links to Sheet 1 via VLOOKUP.</t>
        </is>
      </c>
      <c r="B20" s="56" t="n"/>
      <c r="C20" s="56" t="n"/>
      <c r="D20" s="56" t="n"/>
      <c r="E20" s="27" t="n"/>
    </row>
    <row r="21" ht="20" customHeight="1">
      <c r="A21" s="11" t="inlineStr">
        <is>
          <t>• Update Base Rates (col E) when supplier prices change. Record the Last Updated date (col H).</t>
        </is>
      </c>
      <c r="B21" s="56" t="n"/>
      <c r="C21" s="56" t="n"/>
      <c r="D21" s="56" t="n"/>
      <c r="E21" s="27" t="n"/>
    </row>
    <row r="22" ht="20" customHeight="1">
      <c r="A22" s="3" t="inlineStr">
        <is>
          <t>• Add new materials as new rows. Ensure the Rate Code and Description are unique.</t>
        </is>
      </c>
      <c r="B22" s="56" t="n"/>
      <c r="C22" s="56" t="n"/>
      <c r="D22" s="56" t="n"/>
      <c r="E22" s="27" t="n"/>
    </row>
    <row r="23" ht="20" customHeight="1">
      <c r="A23" s="11" t="inlineStr">
        <is>
          <t>• Average rate is displayed at the bottom of the Base Rate column for reference.</t>
        </is>
      </c>
      <c r="B23" s="56" t="n"/>
      <c r="C23" s="56" t="n"/>
      <c r="D23" s="56" t="n"/>
      <c r="E23" s="27" t="n"/>
    </row>
    <row r="24" ht="10" customHeight="1"/>
    <row r="25" ht="26" customHeight="1">
      <c r="A25" s="55" t="inlineStr">
        <is>
          <t>GENERAL NOTES</t>
        </is>
      </c>
      <c r="B25" s="56" t="n"/>
      <c r="C25" s="56" t="n"/>
      <c r="D25" s="56" t="n"/>
      <c r="E25" s="27" t="n"/>
    </row>
    <row r="26" ht="20" customHeight="1">
      <c r="A26" s="3" t="inlineStr">
        <is>
          <t>• All currency values are in Australian Dollars (AUD).</t>
        </is>
      </c>
      <c r="B26" s="56" t="n"/>
      <c r="C26" s="56" t="n"/>
      <c r="D26" s="56" t="n"/>
      <c r="E26" s="27" t="n"/>
    </row>
    <row r="27" ht="20" customHeight="1">
      <c r="A27" s="11" t="inlineStr">
        <is>
          <t>• GST is 10% per ATO requirements. Ensure your ABN is displayed on all client-facing documents.</t>
        </is>
      </c>
      <c r="B27" s="56" t="n"/>
      <c r="C27" s="56" t="n"/>
      <c r="D27" s="56" t="n"/>
      <c r="E27" s="27" t="n"/>
    </row>
    <row r="28" ht="20" customHeight="1">
      <c r="A28" s="3" t="inlineStr">
        <is>
          <t>• This workbook is designed for the Australian financial year (1 July – 30 June).</t>
        </is>
      </c>
      <c r="B28" s="56" t="n"/>
      <c r="C28" s="56" t="n"/>
      <c r="D28" s="56" t="n"/>
      <c r="E28" s="27" t="n"/>
    </row>
    <row r="29" ht="20" customHeight="1">
      <c r="A29" s="11" t="inlineStr">
        <is>
          <t>• Sample data uses 2026 dates. Update project dates before issuing any formal quote.</t>
        </is>
      </c>
      <c r="B29" s="56" t="n"/>
      <c r="C29" s="56" t="n"/>
      <c r="D29" s="56" t="n"/>
      <c r="E29" s="27" t="n"/>
    </row>
    <row r="30" ht="20" customHeight="1">
      <c r="A30" s="3" t="inlineStr">
        <is>
          <t>• Input cells are highlighted in pale yellow (#FFFBEB) — only modify these cells.</t>
        </is>
      </c>
      <c r="B30" s="56" t="n"/>
      <c r="C30" s="56" t="n"/>
      <c r="D30" s="56" t="n"/>
      <c r="E30" s="27" t="n"/>
    </row>
    <row r="31" ht="20" customHeight="1">
      <c r="A31" s="11" t="inlineStr">
        <is>
          <t>• Back up this file regularly, especially after updating the Rate Library.</t>
        </is>
      </c>
      <c r="B31" s="56" t="n"/>
      <c r="C31" s="56" t="n"/>
      <c r="D31" s="56" t="n"/>
      <c r="E31" s="27" t="n"/>
    </row>
    <row r="32" ht="20" customHeight="1">
      <c r="A32" s="3" t="inlineStr">
        <is>
          <t>• For BAS reporting, ensure all GST-applicable items are correctly flagged in col M of Sheet 1.</t>
        </is>
      </c>
      <c r="B32" s="56" t="n"/>
      <c r="C32" s="56" t="n"/>
      <c r="D32" s="56" t="n"/>
      <c r="E32" s="27" t="n"/>
    </row>
  </sheetData>
  <mergeCells count="29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1:E11"/>
    <mergeCell ref="A12:E12"/>
    <mergeCell ref="A13:E13"/>
    <mergeCell ref="A14:E14"/>
    <mergeCell ref="A15:E15"/>
    <mergeCell ref="A16:E16"/>
    <mergeCell ref="A17:E17"/>
    <mergeCell ref="A19:E19"/>
    <mergeCell ref="A20:E20"/>
    <mergeCell ref="A21:E21"/>
    <mergeCell ref="A22:E22"/>
    <mergeCell ref="A23:E23"/>
    <mergeCell ref="A25:E25"/>
    <mergeCell ref="A26:E26"/>
    <mergeCell ref="A27:E27"/>
    <mergeCell ref="A28:E28"/>
    <mergeCell ref="A29:E29"/>
    <mergeCell ref="A30:E30"/>
    <mergeCell ref="A31:E31"/>
    <mergeCell ref="A32:E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2026-06-22T03:27:19Z</dcterms:created>
  <dcterms:modified xmlns:dcterms="http://purl.org/dc/terms/" xmlns:xsi="http://www.w3.org/2001/XMLSchema-instance" xsi:type="dcterms:W3CDTF">2026-06-22T03:27:19Z</dcterms:modified>
</cp:coreProperties>
</file>