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ster Log" sheetId="1" state="visible" r:id="rId1"/>
    <sheet xmlns:r="http://schemas.openxmlformats.org/officeDocument/2006/relationships" name="Roster Summary" sheetId="2" state="visible" r:id="rId2"/>
    <sheet xmlns:r="http://schemas.openxmlformats.org/officeDocument/2006/relationships" name="Instructions" sheetId="3" state="visible" r:id="rId3"/>
  </sheets>
  <definedNames>
    <definedName name="_xlnm._FilterDatabase" localSheetId="0" hidden="1">'Roster Log'!$A$2:$S$12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$#,##0.00"/>
    <numFmt numFmtId="166" formatCode="0.0%"/>
    <numFmt numFmtId="167" formatCode="0.0"/>
  </numFmts>
  <fonts count="18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16A34A"/>
      <sz val="10"/>
    </font>
    <font>
      <name val="Calibri"/>
      <i val="1"/>
      <color rgb="00475569"/>
      <sz val="10"/>
    </font>
    <font>
      <name val="Calibri"/>
      <b val="1"/>
      <color rgb="00FFFFFF"/>
      <sz val="10"/>
    </font>
    <font>
      <name val="Calibri"/>
      <b val="1"/>
      <color rgb="00FFFFFF"/>
    </font>
    <font>
      <name val="Calibri"/>
      <b val="1"/>
      <color rgb="0000FF88"/>
    </font>
    <font>
      <name val="Calibri"/>
      <b val="1"/>
      <color rgb="00FFEE00"/>
    </font>
    <font>
      <name val="Calibri"/>
      <b val="1"/>
      <color rgb="001E293B"/>
      <sz val="13"/>
    </font>
    <font>
      <name val="Calibri"/>
      <b val="1"/>
      <color rgb="00006A4E"/>
      <sz val="16"/>
    </font>
    <font>
      <name val="Calibri"/>
      <b val="1"/>
      <color rgb="00FFFFFF"/>
      <sz val="12"/>
    </font>
    <font>
      <name val="Calibri"/>
      <b val="1"/>
      <sz val="10"/>
    </font>
    <font>
      <name val="Calibri"/>
      <color rgb="001E293B"/>
      <sz val="10"/>
    </font>
    <font>
      <name val="Calibri"/>
      <b val="1"/>
      <color rgb="001E293B"/>
      <sz val="10"/>
    </font>
    <font>
      <name val="Calibri"/>
      <b val="1"/>
      <color rgb="00854D0E"/>
      <sz val="10"/>
    </font>
    <font>
      <name val="Calibri"/>
      <b val="1"/>
      <color rgb="00DC2626"/>
      <sz val="10"/>
    </font>
  </fonts>
  <fills count="14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0FDF4"/>
      </patternFill>
    </fill>
    <fill>
      <patternFill patternType="solid">
        <fgColor rgb="00006A4E"/>
      </patternFill>
    </fill>
    <fill>
      <patternFill patternType="solid">
        <fgColor rgb="000F766E"/>
      </patternFill>
    </fill>
    <fill>
      <patternFill patternType="solid">
        <fgColor rgb="007C3AED"/>
      </patternFill>
    </fill>
    <fill>
      <patternFill patternType="solid">
        <fgColor rgb="00DCFCE7"/>
      </patternFill>
    </fill>
    <fill>
      <patternFill patternType="solid">
        <fgColor rgb="00FEF9C3"/>
      </patternFill>
    </fill>
    <fill>
      <patternFill patternType="solid">
        <fgColor rgb="00FEE2E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6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3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left" vertical="center"/>
    </xf>
    <xf numFmtId="165" fontId="4" fillId="4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left" vertical="center"/>
    </xf>
    <xf numFmtId="164" fontId="3" fillId="6" borderId="1" applyAlignment="1" pivotButton="0" quotePrefix="0" xfId="0">
      <alignment horizontal="left" vertical="center"/>
    </xf>
    <xf numFmtId="3" fontId="3" fillId="6" borderId="1" applyAlignment="1" pivotButton="0" quotePrefix="0" xfId="0">
      <alignment horizontal="center" vertical="center"/>
    </xf>
    <xf numFmtId="165" fontId="4" fillId="6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3" fontId="7" fillId="3" borderId="1" applyAlignment="1" pivotButton="0" quotePrefix="0" xfId="0">
      <alignment horizontal="center" vertical="center"/>
    </xf>
    <xf numFmtId="0" fontId="0" fillId="3" borderId="1" pivotButton="0" quotePrefix="0" xfId="0"/>
    <xf numFmtId="165" fontId="8" fillId="3" borderId="1" applyAlignment="1" pivotButton="0" quotePrefix="0" xfId="0">
      <alignment horizontal="center" vertical="center"/>
    </xf>
    <xf numFmtId="3" fontId="9" fillId="3" borderId="1" applyAlignment="1" pivotButton="0" quotePrefix="0" xfId="0">
      <alignment horizontal="center" vertical="center"/>
    </xf>
    <xf numFmtId="0" fontId="10" fillId="3" borderId="1" applyAlignment="1" pivotButton="0" quotePrefix="0" xfId="0">
      <alignment horizontal="center" vertical="center"/>
    </xf>
    <xf numFmtId="3" fontId="11" fillId="7" borderId="1" applyAlignment="1" pivotButton="0" quotePrefix="0" xfId="0">
      <alignment horizontal="center" vertical="center"/>
    </xf>
    <xf numFmtId="165" fontId="11" fillId="7" borderId="1" applyAlignment="1" pivotButton="0" quotePrefix="0" xfId="0">
      <alignment horizontal="center" vertical="center"/>
    </xf>
    <xf numFmtId="166" fontId="11" fillId="7" borderId="1" applyAlignment="1" pivotButton="0" quotePrefix="0" xfId="0">
      <alignment horizontal="center" vertical="center"/>
    </xf>
    <xf numFmtId="0" fontId="12" fillId="8" borderId="1" applyAlignment="1" pivotButton="0" quotePrefix="0" xfId="0">
      <alignment horizontal="center" vertical="center"/>
    </xf>
    <xf numFmtId="0" fontId="6" fillId="9" borderId="1" applyAlignment="1" pivotButton="0" quotePrefix="0" xfId="0">
      <alignment horizontal="center" vertical="center"/>
    </xf>
    <xf numFmtId="0" fontId="3" fillId="6" borderId="1" pivotButton="0" quotePrefix="0" xfId="0"/>
    <xf numFmtId="3" fontId="13" fillId="6" borderId="1" applyAlignment="1" pivotButton="0" quotePrefix="0" xfId="0">
      <alignment horizontal="center" vertical="center"/>
    </xf>
    <xf numFmtId="165" fontId="4" fillId="6" borderId="1" applyAlignment="1" pivotButton="0" quotePrefix="0" xfId="0">
      <alignment horizontal="center" vertical="center"/>
    </xf>
    <xf numFmtId="0" fontId="3" fillId="4" borderId="1" pivotButton="0" quotePrefix="0" xfId="0"/>
    <xf numFmtId="3" fontId="13" fillId="4" borderId="1" applyAlignment="1" pivotButton="0" quotePrefix="0" xfId="0">
      <alignment horizontal="center" vertical="center"/>
    </xf>
    <xf numFmtId="165" fontId="4" fillId="4" borderId="1" applyAlignment="1" pivotButton="0" quotePrefix="0" xfId="0">
      <alignment horizontal="center" vertical="center"/>
    </xf>
    <xf numFmtId="167" fontId="3" fillId="6" borderId="1" applyAlignment="1" pivotButton="0" quotePrefix="0" xfId="0">
      <alignment horizontal="center" vertical="center"/>
    </xf>
    <xf numFmtId="167" fontId="3" fillId="4" borderId="1" applyAlignment="1" pivotButton="0" quotePrefix="0" xfId="0">
      <alignment horizontal="center" vertical="center"/>
    </xf>
    <xf numFmtId="0" fontId="6" fillId="9" borderId="1" pivotButton="0" quotePrefix="0" xfId="0"/>
    <xf numFmtId="0" fontId="3" fillId="0" borderId="1" pivotButton="0" quotePrefix="0" xfId="0"/>
    <xf numFmtId="0" fontId="3" fillId="0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center" vertical="center"/>
    </xf>
    <xf numFmtId="0" fontId="14" fillId="0" borderId="1" applyAlignment="1" pivotButton="0" quotePrefix="0" xfId="0">
      <alignment horizontal="left" vertical="center" wrapText="1"/>
    </xf>
    <xf numFmtId="0" fontId="6" fillId="8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12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15" fillId="5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center" vertical="center"/>
    </xf>
    <xf numFmtId="0" fontId="16" fillId="12" borderId="1" applyAlignment="1" pivotButton="0" quotePrefix="0" xfId="0">
      <alignment horizontal="center" vertical="center"/>
    </xf>
    <xf numFmtId="0" fontId="17" fillId="13" borderId="1" applyAlignment="1" pivotButton="0" quotePrefix="0" xfId="0">
      <alignment horizontal="center" vertical="center"/>
    </xf>
    <xf numFmtId="0" fontId="15" fillId="6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left" vertical="center"/>
    </xf>
    <xf numFmtId="165" fontId="4" fillId="4" borderId="1" applyAlignment="1" pivotButton="0" quotePrefix="0" xfId="0">
      <alignment horizontal="left" vertical="center"/>
    </xf>
    <xf numFmtId="164" fontId="3" fillId="6" borderId="1" applyAlignment="1" pivotButton="0" quotePrefix="0" xfId="0">
      <alignment horizontal="left" vertical="center"/>
    </xf>
    <xf numFmtId="165" fontId="4" fillId="6" borderId="1" applyAlignment="1" pivotButton="0" quotePrefix="0" xfId="0">
      <alignment horizontal="left" vertical="center"/>
    </xf>
    <xf numFmtId="165" fontId="8" fillId="3" borderId="1" applyAlignment="1" pivotButton="0" quotePrefix="0" xfId="0">
      <alignment horizontal="center" vertical="center"/>
    </xf>
    <xf numFmtId="165" fontId="11" fillId="7" borderId="1" applyAlignment="1" pivotButton="0" quotePrefix="0" xfId="0">
      <alignment horizontal="center" vertical="center"/>
    </xf>
    <xf numFmtId="166" fontId="11" fillId="7" borderId="1" applyAlignment="1" pivotButton="0" quotePrefix="0" xfId="0">
      <alignment horizontal="center" vertical="center"/>
    </xf>
    <xf numFmtId="165" fontId="4" fillId="6" borderId="1" applyAlignment="1" pivotButton="0" quotePrefix="0" xfId="0">
      <alignment horizontal="center" vertical="center"/>
    </xf>
    <xf numFmtId="165" fontId="4" fillId="4" borderId="1" applyAlignment="1" pivotButton="0" quotePrefix="0" xfId="0">
      <alignment horizontal="center" vertical="center"/>
    </xf>
    <xf numFmtId="167" fontId="3" fillId="6" borderId="1" applyAlignment="1" pivotButton="0" quotePrefix="0" xfId="0">
      <alignment horizontal="center" vertical="center"/>
    </xf>
    <xf numFmtId="167" fontId="3" fillId="4" borderId="1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 patternType="solid">
          <fgColor rgb="00DCFCE7"/>
        </patternFill>
      </fill>
    </dxf>
    <dxf>
      <fill>
        <patternFill patternType="solid">
          <fgColor rgb="00FEF9C3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Gross Pay by Site Location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'Roster Summary'!E25</f>
            </strRef>
          </tx>
          <spPr>
            <a:solidFill xmlns:a="http://schemas.openxmlformats.org/drawingml/2006/main">
              <a:srgbClr val="006A4E"/>
            </a:solidFill>
            <a:ln xmlns:a="http://schemas.openxmlformats.org/drawingml/2006/main">
              <a:prstDash val="solid"/>
            </a:ln>
          </spPr>
          <cat>
            <numRef>
              <f>'Roster Summary'!$A$26:$A$32</f>
            </numRef>
          </cat>
          <val>
            <numRef>
              <f>'Roster Summary'!$E$26:$E$32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Site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AUD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Roster Days Trend</a:t>
            </a:r>
          </a:p>
        </rich>
      </tx>
    </title>
    <plotArea>
      <lineChart>
        <grouping val="standard"/>
        <ser>
          <idx val="0"/>
          <order val="0"/>
          <tx>
            <strRef>
              <f>'Roster Summary'!B36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'Roster Summary'!$A$37:$A$42</f>
            </numRef>
          </cat>
          <val>
            <numRef>
              <f>'Roster Summary'!$B$37:$B$42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Roster Days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Roster Status Split</a:t>
            </a:r>
          </a:p>
        </rich>
      </tx>
    </title>
    <plotArea>
      <pieChart>
        <varyColors val="1"/>
        <ser>
          <idx val="0"/>
          <order val="0"/>
          <tx>
            <strRef>
              <f>'Roster Summary'!I35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EAB308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'Roster Summary'!$H$36:$H$38</f>
            </numRef>
          </cat>
          <val>
            <numRef>
              <f>'Roster Summary'!$I$36:$I$38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7</col>
      <colOff>0</colOff>
      <row>9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27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45</row>
      <rowOff>0</rowOff>
    </from>
    <ext cx="504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22" customWidth="1" min="3" max="3"/>
    <col width="14" customWidth="1" min="4" max="4"/>
    <col width="16" customWidth="1" min="5" max="5"/>
    <col width="22" customWidth="1" min="6" max="6"/>
    <col width="14" customWidth="1" min="7" max="7"/>
    <col width="14" customWidth="1" min="8" max="8"/>
    <col width="12" customWidth="1" min="9" max="9"/>
    <col width="13" customWidth="1" min="10" max="10"/>
    <col width="13" customWidth="1" min="11" max="11"/>
    <col width="15" customWidth="1" min="12" max="12"/>
    <col width="18" customWidth="1" min="13" max="13"/>
    <col width="18" customWidth="1" min="14" max="14"/>
    <col width="18" customWidth="1" min="15" max="15"/>
    <col width="20" customWidth="1" min="16" max="16"/>
    <col width="13" customWidth="1" min="17" max="17"/>
    <col width="12" customWidth="1" min="18" max="18"/>
    <col width="28" customWidth="1" min="19" max="19"/>
  </cols>
  <sheetData>
    <row r="1" ht="32" customHeight="1">
      <c r="A1" s="1" t="inlineStr">
        <is>
          <t>FIFO Roster Tracker — Australian Mining &amp; Energy</t>
        </is>
      </c>
    </row>
    <row r="2" ht="28" customHeight="1">
      <c r="A2" s="2" t="inlineStr">
        <is>
          <t>Employee ID</t>
        </is>
      </c>
      <c r="B2" s="2" t="inlineStr">
        <is>
          <t>Employee Name</t>
        </is>
      </c>
      <c r="C2" s="2" t="inlineStr">
        <is>
          <t>Role</t>
        </is>
      </c>
      <c r="D2" s="2" t="inlineStr">
        <is>
          <t>Home City</t>
        </is>
      </c>
      <c r="E2" s="2" t="inlineStr">
        <is>
          <t>Site Location</t>
        </is>
      </c>
      <c r="F2" s="2" t="inlineStr">
        <is>
          <t>Project</t>
        </is>
      </c>
      <c r="G2" s="2" t="inlineStr">
        <is>
          <t>Roster Start</t>
        </is>
      </c>
      <c r="H2" s="2" t="inlineStr">
        <is>
          <t>Roster End</t>
        </is>
      </c>
      <c r="I2" s="2" t="inlineStr">
        <is>
          <t>Swing Type</t>
        </is>
      </c>
      <c r="J2" s="2" t="inlineStr">
        <is>
          <t>Days on Site</t>
        </is>
      </c>
      <c r="K2" s="2" t="inlineStr">
        <is>
          <t>Travel Days</t>
        </is>
      </c>
      <c r="L2" s="2" t="inlineStr">
        <is>
          <t>Total Roster Days</t>
        </is>
      </c>
      <c r="M2" s="2" t="inlineStr">
        <is>
          <t>Base Daily Rate ($)</t>
        </is>
      </c>
      <c r="N2" s="2" t="inlineStr">
        <is>
          <t>Site Allowance ($)</t>
        </is>
      </c>
      <c r="O2" s="2" t="inlineStr">
        <is>
          <t>Travel Allowance ($)</t>
        </is>
      </c>
      <c r="P2" s="2" t="inlineStr">
        <is>
          <t>Gross Roster Pay ($)</t>
        </is>
      </c>
      <c r="Q2" s="2" t="inlineStr">
        <is>
          <t>Leave Taken</t>
        </is>
      </c>
      <c r="R2" s="2" t="inlineStr">
        <is>
          <t>Status</t>
        </is>
      </c>
      <c r="S2" s="2" t="inlineStr">
        <is>
          <t>Notes</t>
        </is>
      </c>
    </row>
    <row r="3">
      <c r="A3" s="3" t="inlineStr">
        <is>
          <t>EMP001</t>
        </is>
      </c>
      <c r="B3" s="3" t="inlineStr">
        <is>
          <t>Jack Thompson</t>
        </is>
      </c>
      <c r="C3" s="3" t="inlineStr">
        <is>
          <t>Drill &amp; Blast Engineer</t>
        </is>
      </c>
      <c r="D3" s="3" t="inlineStr">
        <is>
          <t>Perth</t>
        </is>
      </c>
      <c r="E3" s="3" t="inlineStr">
        <is>
          <t>Pilbara</t>
        </is>
      </c>
      <c r="F3" s="3" t="inlineStr">
        <is>
          <t>Iron Ore Expansion</t>
        </is>
      </c>
      <c r="G3" s="53" t="n">
        <v>46027</v>
      </c>
      <c r="H3" s="53" t="n">
        <v>46040</v>
      </c>
      <c r="I3" s="5" t="inlineStr">
        <is>
          <t>14&amp;7</t>
        </is>
      </c>
      <c r="J3" s="6">
        <f>IF(AND(H3&lt;&gt;"",G3&lt;&gt;""),H3-G3+1,"")</f>
        <v/>
      </c>
      <c r="K3" s="7" t="n">
        <v>2</v>
      </c>
      <c r="L3" s="6">
        <f>IF(AND(G3&lt;&gt;"",H3&lt;&gt;""),H3-G3+1,"")</f>
        <v/>
      </c>
      <c r="M3" s="54" t="n">
        <v>850</v>
      </c>
      <c r="N3" s="54" t="n">
        <v>125</v>
      </c>
      <c r="O3" s="54" t="n">
        <v>85</v>
      </c>
      <c r="P3" s="55">
        <f>IF(OR(M3="",N3=""),"",((M3*J3)+(N3*K3)))</f>
        <v/>
      </c>
      <c r="Q3" s="7" t="n">
        <v>0</v>
      </c>
      <c r="R3" s="10">
        <f>IF(Q3="","Pending",IF(Q3&gt;0,"On Leave","Active"))</f>
        <v/>
      </c>
      <c r="S3" s="11" t="inlineStr"/>
    </row>
    <row r="4">
      <c r="A4" s="12" t="inlineStr">
        <is>
          <t>EMP002</t>
        </is>
      </c>
      <c r="B4" s="12" t="inlineStr">
        <is>
          <t>Olivia Nguyen</t>
        </is>
      </c>
      <c r="C4" s="12" t="inlineStr">
        <is>
          <t>Site Safety Officer</t>
        </is>
      </c>
      <c r="D4" s="12" t="inlineStr">
        <is>
          <t>Brisbane</t>
        </is>
      </c>
      <c r="E4" s="12" t="inlineStr">
        <is>
          <t>Bowen Basin</t>
        </is>
      </c>
      <c r="F4" s="12" t="inlineStr">
        <is>
          <t>Coal Seam Gas</t>
        </is>
      </c>
      <c r="G4" s="56" t="n">
        <v>46034</v>
      </c>
      <c r="H4" s="56" t="n">
        <v>46047</v>
      </c>
      <c r="I4" s="5" t="inlineStr">
        <is>
          <t>14&amp;7</t>
        </is>
      </c>
      <c r="J4" s="14">
        <f>IF(AND(H4&lt;&gt;"",G4&lt;&gt;""),H4-G4+1,"")</f>
        <v/>
      </c>
      <c r="K4" s="7" t="n">
        <v>2</v>
      </c>
      <c r="L4" s="14">
        <f>IF(AND(G4&lt;&gt;"",H4&lt;&gt;""),H4-G4+1,"")</f>
        <v/>
      </c>
      <c r="M4" s="54" t="n">
        <v>780</v>
      </c>
      <c r="N4" s="54" t="n">
        <v>110</v>
      </c>
      <c r="O4" s="54" t="n">
        <v>90</v>
      </c>
      <c r="P4" s="57">
        <f>IF(OR(M4="",N4=""),"",((M4*J4)+(N4*K4)))</f>
        <v/>
      </c>
      <c r="Q4" s="7" t="n">
        <v>0</v>
      </c>
      <c r="R4" s="16">
        <f>IF(Q4="","Pending",IF(Q4&gt;0,"On Leave","Active"))</f>
        <v/>
      </c>
      <c r="S4" s="17" t="inlineStr"/>
    </row>
    <row r="5">
      <c r="A5" s="3" t="inlineStr">
        <is>
          <t>EMP003</t>
        </is>
      </c>
      <c r="B5" s="3" t="inlineStr">
        <is>
          <t>Liam Brown</t>
        </is>
      </c>
      <c r="C5" s="3" t="inlineStr">
        <is>
          <t>Mechanical Technician</t>
        </is>
      </c>
      <c r="D5" s="3" t="inlineStr">
        <is>
          <t>Perth</t>
        </is>
      </c>
      <c r="E5" s="3" t="inlineStr">
        <is>
          <t>Karratha</t>
        </is>
      </c>
      <c r="F5" s="3" t="inlineStr">
        <is>
          <t>LNG Maintenance</t>
        </is>
      </c>
      <c r="G5" s="53" t="n">
        <v>46056</v>
      </c>
      <c r="H5" s="53" t="n">
        <v>46069</v>
      </c>
      <c r="I5" s="5" t="inlineStr">
        <is>
          <t>14&amp;7</t>
        </is>
      </c>
      <c r="J5" s="6">
        <f>IF(AND(H5&lt;&gt;"",G5&lt;&gt;""),H5-G5+1,"")</f>
        <v/>
      </c>
      <c r="K5" s="7" t="n">
        <v>2</v>
      </c>
      <c r="L5" s="6">
        <f>IF(AND(G5&lt;&gt;"",H5&lt;&gt;""),H5-G5+1,"")</f>
        <v/>
      </c>
      <c r="M5" s="54" t="n">
        <v>820</v>
      </c>
      <c r="N5" s="54" t="n">
        <v>135</v>
      </c>
      <c r="O5" s="54" t="n">
        <v>85</v>
      </c>
      <c r="P5" s="55">
        <f>IF(OR(M5="",N5=""),"",((M5*J5)+(N5*K5)))</f>
        <v/>
      </c>
      <c r="Q5" s="7" t="n">
        <v>5</v>
      </c>
      <c r="R5" s="10">
        <f>IF(Q5="","Pending",IF(Q5&gt;0,"On Leave","Active"))</f>
        <v/>
      </c>
      <c r="S5" s="11" t="inlineStr">
        <is>
          <t>Annual leave during swing</t>
        </is>
      </c>
    </row>
    <row r="6">
      <c r="A6" s="12" t="inlineStr">
        <is>
          <t>EMP004</t>
        </is>
      </c>
      <c r="B6" s="12" t="inlineStr">
        <is>
          <t>Charlotte Wilson</t>
        </is>
      </c>
      <c r="C6" s="12" t="inlineStr">
        <is>
          <t>Project Coordinator</t>
        </is>
      </c>
      <c r="D6" s="12" t="inlineStr">
        <is>
          <t>Melbourne</t>
        </is>
      </c>
      <c r="E6" s="12" t="inlineStr">
        <is>
          <t>Newman</t>
        </is>
      </c>
      <c r="F6" s="12" t="inlineStr">
        <is>
          <t>Iron Ore Expansion</t>
        </is>
      </c>
      <c r="G6" s="56" t="n">
        <v>46063</v>
      </c>
      <c r="H6" s="56" t="n">
        <v>46090</v>
      </c>
      <c r="I6" s="5" t="inlineStr">
        <is>
          <t>28&amp;9</t>
        </is>
      </c>
      <c r="J6" s="14">
        <f>IF(AND(H6&lt;&gt;"",G6&lt;&gt;""),H6-G6+1,"")</f>
        <v/>
      </c>
      <c r="K6" s="7" t="n">
        <v>3</v>
      </c>
      <c r="L6" s="14">
        <f>IF(AND(G6&lt;&gt;"",H6&lt;&gt;""),H6-G6+1,"")</f>
        <v/>
      </c>
      <c r="M6" s="54" t="n">
        <v>960</v>
      </c>
      <c r="N6" s="54" t="n">
        <v>145</v>
      </c>
      <c r="O6" s="54" t="n">
        <v>95</v>
      </c>
      <c r="P6" s="57">
        <f>IF(OR(M6="",N6=""),"",((M6*J6)+(N6*K6)))</f>
        <v/>
      </c>
      <c r="Q6" s="7" t="n">
        <v>0</v>
      </c>
      <c r="R6" s="16">
        <f>IF(Q6="","Pending",IF(Q6&gt;0,"On Leave","Active"))</f>
        <v/>
      </c>
      <c r="S6" s="17" t="inlineStr"/>
    </row>
    <row r="7">
      <c r="A7" s="3" t="inlineStr">
        <is>
          <t>EMP005</t>
        </is>
      </c>
      <c r="B7" s="3" t="inlineStr">
        <is>
          <t>Noah Taylor</t>
        </is>
      </c>
      <c r="C7" s="3" t="inlineStr">
        <is>
          <t>Electrician</t>
        </is>
      </c>
      <c r="D7" s="3" t="inlineStr">
        <is>
          <t>Adelaide</t>
        </is>
      </c>
      <c r="E7" s="3" t="inlineStr">
        <is>
          <t>Port Hedland</t>
        </is>
      </c>
      <c r="F7" s="3" t="inlineStr">
        <is>
          <t>Mine Shutdown</t>
        </is>
      </c>
      <c r="G7" s="53" t="n">
        <v>46082</v>
      </c>
      <c r="H7" s="53" t="n">
        <v>46095</v>
      </c>
      <c r="I7" s="5" t="inlineStr">
        <is>
          <t>14&amp;7</t>
        </is>
      </c>
      <c r="J7" s="6">
        <f>IF(AND(H7&lt;&gt;"",G7&lt;&gt;""),H7-G7+1,"")</f>
        <v/>
      </c>
      <c r="K7" s="7" t="n">
        <v>2</v>
      </c>
      <c r="L7" s="6">
        <f>IF(AND(G7&lt;&gt;"",H7&lt;&gt;""),H7-G7+1,"")</f>
        <v/>
      </c>
      <c r="M7" s="54" t="n">
        <v>890</v>
      </c>
      <c r="N7" s="54" t="n">
        <v>130</v>
      </c>
      <c r="O7" s="54" t="n">
        <v>88</v>
      </c>
      <c r="P7" s="55">
        <f>IF(OR(M7="",N7=""),"",((M7*J7)+(N7*K7)))</f>
        <v/>
      </c>
      <c r="Q7" s="7" t="n">
        <v>0</v>
      </c>
      <c r="R7" s="10">
        <f>IF(Q7="","Pending",IF(Q7&gt;0,"On Leave","Active"))</f>
        <v/>
      </c>
      <c r="S7" s="11" t="inlineStr"/>
    </row>
    <row r="8">
      <c r="A8" s="12" t="inlineStr">
        <is>
          <t>EMP006</t>
        </is>
      </c>
      <c r="B8" s="12" t="inlineStr">
        <is>
          <t>Mia Johnson</t>
        </is>
      </c>
      <c r="C8" s="12" t="inlineStr">
        <is>
          <t>Geologist</t>
        </is>
      </c>
      <c r="D8" s="12" t="inlineStr">
        <is>
          <t>Perth</t>
        </is>
      </c>
      <c r="E8" s="12" t="inlineStr">
        <is>
          <t>Pilbara</t>
        </is>
      </c>
      <c r="F8" s="12" t="inlineStr">
        <is>
          <t>Haul Road Upgrade</t>
        </is>
      </c>
      <c r="G8" s="56" t="n">
        <v>46096</v>
      </c>
      <c r="H8" s="56" t="n">
        <v>46109</v>
      </c>
      <c r="I8" s="5" t="inlineStr">
        <is>
          <t>14&amp;7</t>
        </is>
      </c>
      <c r="J8" s="14">
        <f>IF(AND(H8&lt;&gt;"",G8&lt;&gt;""),H8-G8+1,"")</f>
        <v/>
      </c>
      <c r="K8" s="7" t="n">
        <v>2</v>
      </c>
      <c r="L8" s="14">
        <f>IF(AND(G8&lt;&gt;"",H8&lt;&gt;""),H8-G8+1,"")</f>
        <v/>
      </c>
      <c r="M8" s="54" t="n">
        <v>910</v>
      </c>
      <c r="N8" s="54" t="n">
        <v>125</v>
      </c>
      <c r="O8" s="54" t="n">
        <v>85</v>
      </c>
      <c r="P8" s="57">
        <f>IF(OR(M8="",N8=""),"",((M8*J8)+(N8*K8)))</f>
        <v/>
      </c>
      <c r="Q8" s="7" t="n">
        <v>7</v>
      </c>
      <c r="R8" s="16">
        <f>IF(Q8="","Pending",IF(Q8&gt;0,"On Leave","Active"))</f>
        <v/>
      </c>
      <c r="S8" s="17" t="inlineStr">
        <is>
          <t>Sick leave taken</t>
        </is>
      </c>
    </row>
    <row r="9">
      <c r="A9" s="3" t="inlineStr">
        <is>
          <t>EMP007</t>
        </is>
      </c>
      <c r="B9" s="3" t="inlineStr">
        <is>
          <t>Ethan Scott</t>
        </is>
      </c>
      <c r="C9" s="3" t="inlineStr">
        <is>
          <t>Camp Manager</t>
        </is>
      </c>
      <c r="D9" s="3" t="inlineStr">
        <is>
          <t>Sydney</t>
        </is>
      </c>
      <c r="E9" s="3" t="inlineStr">
        <is>
          <t>Mackay</t>
        </is>
      </c>
      <c r="F9" s="3" t="inlineStr">
        <is>
          <t>Coal Seam Gas</t>
        </is>
      </c>
      <c r="G9" s="53" t="n">
        <v>46118</v>
      </c>
      <c r="H9" s="53" t="n">
        <v>46131</v>
      </c>
      <c r="I9" s="5" t="inlineStr">
        <is>
          <t>14&amp;7</t>
        </is>
      </c>
      <c r="J9" s="6">
        <f>IF(AND(H9&lt;&gt;"",G9&lt;&gt;""),H9-G9+1,"")</f>
        <v/>
      </c>
      <c r="K9" s="7" t="n">
        <v>2</v>
      </c>
      <c r="L9" s="6">
        <f>IF(AND(G9&lt;&gt;"",H9&lt;&gt;""),H9-G9+1,"")</f>
        <v/>
      </c>
      <c r="M9" s="54" t="n">
        <v>760</v>
      </c>
      <c r="N9" s="54" t="n">
        <v>105</v>
      </c>
      <c r="O9" s="54" t="n">
        <v>80</v>
      </c>
      <c r="P9" s="55">
        <f>IF(OR(M9="",N9=""),"",((M9*J9)+(N9*K9)))</f>
        <v/>
      </c>
      <c r="Q9" s="7" t="n">
        <v>0</v>
      </c>
      <c r="R9" s="10">
        <f>IF(Q9="","Pending",IF(Q9&gt;0,"On Leave","Active"))</f>
        <v/>
      </c>
      <c r="S9" s="11" t="inlineStr"/>
    </row>
    <row r="10">
      <c r="A10" s="12" t="inlineStr">
        <is>
          <t>EMP008</t>
        </is>
      </c>
      <c r="B10" s="12" t="inlineStr">
        <is>
          <t>Ruby Martin</t>
        </is>
      </c>
      <c r="C10" s="12" t="inlineStr">
        <is>
          <t>Diesel Fitter</t>
        </is>
      </c>
      <c r="D10" s="12" t="inlineStr">
        <is>
          <t>Newcastle</t>
        </is>
      </c>
      <c r="E10" s="12" t="inlineStr">
        <is>
          <t>Bowen Basin</t>
        </is>
      </c>
      <c r="F10" s="12" t="inlineStr">
        <is>
          <t>Haul Road Upgrade</t>
        </is>
      </c>
      <c r="G10" s="56" t="n">
        <v>46126</v>
      </c>
      <c r="H10" s="56" t="n">
        <v>46139</v>
      </c>
      <c r="I10" s="5" t="inlineStr">
        <is>
          <t>14&amp;7</t>
        </is>
      </c>
      <c r="J10" s="14">
        <f>IF(AND(H10&lt;&gt;"",G10&lt;&gt;""),H10-G10+1,"")</f>
        <v/>
      </c>
      <c r="K10" s="7" t="n">
        <v>2</v>
      </c>
      <c r="L10" s="14">
        <f>IF(AND(G10&lt;&gt;"",H10&lt;&gt;""),H10-G10+1,"")</f>
        <v/>
      </c>
      <c r="M10" s="54" t="n">
        <v>840</v>
      </c>
      <c r="N10" s="54" t="n">
        <v>120</v>
      </c>
      <c r="O10" s="54" t="n">
        <v>85</v>
      </c>
      <c r="P10" s="57">
        <f>IF(OR(M10="",N10=""),"",((M10*J10)+(N10*K10)))</f>
        <v/>
      </c>
      <c r="Q10" s="7" t="n">
        <v>0</v>
      </c>
      <c r="R10" s="16">
        <f>IF(Q10="","Pending",IF(Q10&gt;0,"On Leave","Active"))</f>
        <v/>
      </c>
      <c r="S10" s="17" t="inlineStr">
        <is>
          <t>Awaiting site induction</t>
        </is>
      </c>
    </row>
    <row r="11">
      <c r="A11" s="3" t="inlineStr">
        <is>
          <t>EMP009</t>
        </is>
      </c>
      <c r="B11" s="3" t="inlineStr">
        <is>
          <t>Cooper Davis</t>
        </is>
      </c>
      <c r="C11" s="3" t="inlineStr">
        <is>
          <t>HSE Advisor</t>
        </is>
      </c>
      <c r="D11" s="3" t="inlineStr">
        <is>
          <t>Perth</t>
        </is>
      </c>
      <c r="E11" s="3" t="inlineStr">
        <is>
          <t>Karratha</t>
        </is>
      </c>
      <c r="F11" s="3" t="inlineStr">
        <is>
          <t>LNG Maintenance</t>
        </is>
      </c>
      <c r="G11" s="53" t="n">
        <v>46146</v>
      </c>
      <c r="H11" s="53" t="n">
        <v>46159</v>
      </c>
      <c r="I11" s="5" t="inlineStr">
        <is>
          <t>14&amp;7</t>
        </is>
      </c>
      <c r="J11" s="6">
        <f>IF(AND(H11&lt;&gt;"",G11&lt;&gt;""),H11-G11+1,"")</f>
        <v/>
      </c>
      <c r="K11" s="7" t="n">
        <v>2</v>
      </c>
      <c r="L11" s="6">
        <f>IF(AND(G11&lt;&gt;"",H11&lt;&gt;""),H11-G11+1,"")</f>
        <v/>
      </c>
      <c r="M11" s="54" t="n">
        <v>870</v>
      </c>
      <c r="N11" s="54" t="n">
        <v>130</v>
      </c>
      <c r="O11" s="54" t="n">
        <v>88</v>
      </c>
      <c r="P11" s="55">
        <f>IF(OR(M11="",N11=""),"",((M11*J11)+(N11*K11)))</f>
        <v/>
      </c>
      <c r="Q11" s="7" t="n">
        <v>0</v>
      </c>
      <c r="R11" s="10">
        <f>IF(Q11="","Pending",IF(Q11&gt;0,"On Leave","Active"))</f>
        <v/>
      </c>
      <c r="S11" s="11" t="inlineStr"/>
    </row>
    <row r="12">
      <c r="A12" s="12" t="inlineStr">
        <is>
          <t>EMP010</t>
        </is>
      </c>
      <c r="B12" s="12" t="inlineStr">
        <is>
          <t>Isla Clark</t>
        </is>
      </c>
      <c r="C12" s="12" t="inlineStr">
        <is>
          <t>Environmental Scientist</t>
        </is>
      </c>
      <c r="D12" s="12" t="inlineStr">
        <is>
          <t>Brisbane</t>
        </is>
      </c>
      <c r="E12" s="12" t="inlineStr">
        <is>
          <t>Gladstone</t>
        </is>
      </c>
      <c r="F12" s="12" t="inlineStr">
        <is>
          <t>Coal Seam Gas</t>
        </is>
      </c>
      <c r="G12" s="56" t="n">
        <v>46174</v>
      </c>
      <c r="H12" s="56" t="n">
        <v>46187</v>
      </c>
      <c r="I12" s="5" t="inlineStr">
        <is>
          <t>14&amp;7</t>
        </is>
      </c>
      <c r="J12" s="14">
        <f>IF(AND(H12&lt;&gt;"",G12&lt;&gt;""),H12-G12+1,"")</f>
        <v/>
      </c>
      <c r="K12" s="7" t="n">
        <v>2</v>
      </c>
      <c r="L12" s="14">
        <f>IF(AND(G12&lt;&gt;"",H12&lt;&gt;""),H12-G12+1,"")</f>
        <v/>
      </c>
      <c r="M12" s="54" t="n">
        <v>800</v>
      </c>
      <c r="N12" s="54" t="n">
        <v>115</v>
      </c>
      <c r="O12" s="54" t="n">
        <v>82</v>
      </c>
      <c r="P12" s="57">
        <f>IF(OR(M12="",N12=""),"",((M12*J12)+(N12*K12)))</f>
        <v/>
      </c>
      <c r="Q12" s="7" t="n">
        <v>0</v>
      </c>
      <c r="R12" s="16">
        <f>IF(Q12="","Pending",IF(Q12&gt;0,"On Leave","Active"))</f>
        <v/>
      </c>
      <c r="S12" s="17" t="inlineStr">
        <is>
          <t>Start date to be confirmed</t>
        </is>
      </c>
    </row>
    <row r="13"/>
    <row r="14">
      <c r="A14" s="18" t="inlineStr">
        <is>
          <t>TOTALS / AVERAGES</t>
        </is>
      </c>
      <c r="B14" s="19" t="n"/>
      <c r="C14" s="19" t="n"/>
      <c r="D14" s="19" t="n"/>
      <c r="E14" s="19" t="n"/>
      <c r="F14" s="19" t="n"/>
      <c r="G14" s="19" t="n"/>
      <c r="H14" s="19" t="n"/>
      <c r="I14" s="20" t="n"/>
      <c r="J14" s="21">
        <f>SUM(J3:J12)</f>
        <v/>
      </c>
      <c r="K14" s="22" t="n"/>
      <c r="L14" s="21">
        <f>SUM(L3:L12)</f>
        <v/>
      </c>
      <c r="M14" s="58">
        <f>AVERAGE(M3:M12)</f>
        <v/>
      </c>
      <c r="N14" s="22" t="n"/>
      <c r="O14" s="22" t="n"/>
      <c r="P14" s="58">
        <f>SUM(P3:P12)</f>
        <v/>
      </c>
      <c r="Q14" s="24">
        <f>SUM(Q3:Q12)</f>
        <v/>
      </c>
      <c r="R14" s="22" t="n"/>
      <c r="S14" s="22" t="n"/>
    </row>
  </sheetData>
  <autoFilter ref="A2:S12"/>
  <mergeCells count="2">
    <mergeCell ref="A1:S1"/>
    <mergeCell ref="A14:I14"/>
  </mergeCells>
  <conditionalFormatting sqref="A3:S12">
    <cfRule type="expression" priority="1" dxfId="0" stopIfTrue="0">
      <formula>=$R3="Active"</formula>
    </cfRule>
    <cfRule type="expression" priority="2" dxfId="1" stopIfTrue="0">
      <formula>=$R3="On Leave"</formula>
    </cfRule>
    <cfRule type="expression" priority="3" dxfId="2" stopIfTrue="0">
      <formula>=$R3="Pending"</formula>
    </cfRule>
  </conditionalFormatting>
  <dataValidations count="2">
    <dataValidation sqref="I3:I100" showErrorMessage="1" showInputMessage="1" allowBlank="1" errorTitle="Invalid Swing Type" error="Please select a valid swing type from the list." type="list">
      <formula1>"2&amp;1,3&amp;1,4&amp;2,8&amp;6,14&amp;7,28&amp;9"</formula1>
    </dataValidation>
    <dataValidation sqref="R3:R100" showErrorMessage="1" showInputMessage="1" allowBlank="1" errorTitle="Invalid Status" error="Please select Active, On Leave or Pending." type="list">
      <formula1>"Active,On Leave,Pending"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42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6" customWidth="1" min="4" max="4"/>
    <col width="20" customWidth="1" min="5" max="5"/>
    <col width="15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</cols>
  <sheetData>
    <row r="1" ht="32" customHeight="1">
      <c r="A1" s="1" t="inlineStr">
        <is>
          <t>FIFO Roster Summary Dashboard</t>
        </is>
      </c>
    </row>
    <row r="2"/>
    <row r="3">
      <c r="A3" s="25" t="inlineStr">
        <is>
          <t>Total Rostered Days</t>
        </is>
      </c>
      <c r="B3" s="19" t="n"/>
      <c r="C3" s="20" t="n"/>
      <c r="D3" s="25" t="inlineStr">
        <is>
          <t>Avg Daily Rate ($)</t>
        </is>
      </c>
      <c r="E3" s="19" t="n"/>
      <c r="F3" s="20" t="n"/>
      <c r="G3" s="25" t="inlineStr">
        <is>
          <t>Total Gross Pay ($)</t>
        </is>
      </c>
      <c r="H3" s="19" t="n"/>
      <c r="I3" s="20" t="n"/>
      <c r="J3" s="25" t="inlineStr">
        <is>
          <t>Total Leave Days</t>
        </is>
      </c>
      <c r="K3" s="19" t="n"/>
      <c r="L3" s="20" t="n"/>
      <c r="M3" s="25" t="inlineStr">
        <is>
          <t>Active Rosters</t>
        </is>
      </c>
      <c r="N3" s="19" t="n"/>
      <c r="O3" s="20" t="n"/>
    </row>
    <row r="4">
      <c r="A4" s="26">
        <f>SUM('Roster Log'!L:L)</f>
        <v/>
      </c>
      <c r="B4" s="19" t="n"/>
      <c r="C4" s="20" t="n"/>
      <c r="D4" s="59">
        <f>IFERROR(AVERAGE('Roster Log'!M:M),0)</f>
        <v/>
      </c>
      <c r="E4" s="19" t="n"/>
      <c r="F4" s="20" t="n"/>
      <c r="G4" s="59">
        <f>SUM('Roster Log'!P:P)</f>
        <v/>
      </c>
      <c r="H4" s="19" t="n"/>
      <c r="I4" s="20" t="n"/>
      <c r="J4" s="26">
        <f>SUM('Roster Log'!Q:Q)</f>
        <v/>
      </c>
      <c r="K4" s="19" t="n"/>
      <c r="L4" s="20" t="n"/>
      <c r="M4" s="26">
        <f>COUNTIF('Roster Log'!R:R,"Active")</f>
        <v/>
      </c>
      <c r="N4" s="19" t="n"/>
      <c r="O4" s="20" t="n"/>
    </row>
    <row r="5"/>
    <row r="6">
      <c r="A6" s="25" t="inlineStr">
        <is>
          <t>Pending Rosters</t>
        </is>
      </c>
      <c r="B6" s="19" t="n"/>
      <c r="C6" s="20" t="n"/>
      <c r="D6" s="25" t="inlineStr">
        <is>
          <t>Leave Rate %</t>
        </is>
      </c>
      <c r="E6" s="19" t="n"/>
      <c r="F6" s="20" t="n"/>
    </row>
    <row r="7">
      <c r="A7" s="26">
        <f>COUNTIF('Roster Log'!R:R,"Pending")</f>
        <v/>
      </c>
      <c r="B7" s="19" t="n"/>
      <c r="C7" s="20" t="n"/>
      <c r="D7" s="60">
        <f>IFERROR(COUNTIF('Roster Log'!Q:Q,"&gt;0")/COUNTA('Roster Log'!A:A),0)</f>
        <v/>
      </c>
      <c r="E7" s="19" t="n"/>
      <c r="F7" s="20" t="n"/>
    </row>
    <row r="8"/>
    <row r="9"/>
    <row r="10">
      <c r="A10" s="29" t="inlineStr">
        <is>
          <t>Summary by Employee</t>
        </is>
      </c>
      <c r="B10" s="19" t="n"/>
      <c r="C10" s="19" t="n"/>
      <c r="D10" s="19" t="n"/>
      <c r="E10" s="19" t="n"/>
      <c r="F10" s="20" t="n"/>
    </row>
    <row r="11">
      <c r="A11" s="30" t="inlineStr">
        <is>
          <t>Employee Name</t>
        </is>
      </c>
      <c r="B11" s="30" t="inlineStr">
        <is>
          <t>Role</t>
        </is>
      </c>
      <c r="C11" s="30" t="inlineStr">
        <is>
          <t>Site</t>
        </is>
      </c>
      <c r="D11" s="30" t="inlineStr">
        <is>
          <t>Total Roster Days</t>
        </is>
      </c>
      <c r="E11" s="30" t="inlineStr">
        <is>
          <t>Gross Pay ($)</t>
        </is>
      </c>
      <c r="F11" s="30" t="inlineStr">
        <is>
          <t>Leave Days</t>
        </is>
      </c>
    </row>
    <row r="12">
      <c r="A12" s="31" t="inlineStr">
        <is>
          <t>Jack Thompson</t>
        </is>
      </c>
      <c r="B12" s="31" t="inlineStr">
        <is>
          <t>Drill &amp; Blast Engineer</t>
        </is>
      </c>
      <c r="C12" s="31" t="inlineStr">
        <is>
          <t>Pilbara</t>
        </is>
      </c>
      <c r="D12" s="32">
        <f>IFERROR(SUMIF('Roster Log'!B:B,"Jack Thompson",'Roster Log'!L:L),0)</f>
        <v/>
      </c>
      <c r="E12" s="61">
        <f>IFERROR(SUMIF('Roster Log'!B:B,"Jack Thompson",'Roster Log'!P:P),0)</f>
        <v/>
      </c>
      <c r="F12" s="14">
        <f>IFERROR(SUMIF('Roster Log'!B:B,"Jack Thompson",'Roster Log'!Q:Q),0)</f>
        <v/>
      </c>
    </row>
    <row r="13">
      <c r="A13" s="34" t="inlineStr">
        <is>
          <t>Olivia Nguyen</t>
        </is>
      </c>
      <c r="B13" s="34" t="inlineStr">
        <is>
          <t>Site Safety Officer</t>
        </is>
      </c>
      <c r="C13" s="34" t="inlineStr">
        <is>
          <t>Bowen Basin</t>
        </is>
      </c>
      <c r="D13" s="35">
        <f>IFERROR(SUMIF('Roster Log'!B:B,"Olivia Nguyen",'Roster Log'!L:L),0)</f>
        <v/>
      </c>
      <c r="E13" s="62">
        <f>IFERROR(SUMIF('Roster Log'!B:B,"Olivia Nguyen",'Roster Log'!P:P),0)</f>
        <v/>
      </c>
      <c r="F13" s="6">
        <f>IFERROR(SUMIF('Roster Log'!B:B,"Olivia Nguyen",'Roster Log'!Q:Q),0)</f>
        <v/>
      </c>
    </row>
    <row r="14">
      <c r="A14" s="31" t="inlineStr">
        <is>
          <t>Liam Brown</t>
        </is>
      </c>
      <c r="B14" s="31" t="inlineStr">
        <is>
          <t>Mechanical Technician</t>
        </is>
      </c>
      <c r="C14" s="31" t="inlineStr">
        <is>
          <t>Karratha</t>
        </is>
      </c>
      <c r="D14" s="32">
        <f>IFERROR(SUMIF('Roster Log'!B:B,"Liam Brown",'Roster Log'!L:L),0)</f>
        <v/>
      </c>
      <c r="E14" s="61">
        <f>IFERROR(SUMIF('Roster Log'!B:B,"Liam Brown",'Roster Log'!P:P),0)</f>
        <v/>
      </c>
      <c r="F14" s="14">
        <f>IFERROR(SUMIF('Roster Log'!B:B,"Liam Brown",'Roster Log'!Q:Q),0)</f>
        <v/>
      </c>
    </row>
    <row r="15">
      <c r="A15" s="34" t="inlineStr">
        <is>
          <t>Charlotte Wilson</t>
        </is>
      </c>
      <c r="B15" s="34" t="inlineStr">
        <is>
          <t>Project Coordinator</t>
        </is>
      </c>
      <c r="C15" s="34" t="inlineStr">
        <is>
          <t>Newman</t>
        </is>
      </c>
      <c r="D15" s="35">
        <f>IFERROR(SUMIF('Roster Log'!B:B,"Charlotte Wilson",'Roster Log'!L:L),0)</f>
        <v/>
      </c>
      <c r="E15" s="62">
        <f>IFERROR(SUMIF('Roster Log'!B:B,"Charlotte Wilson",'Roster Log'!P:P),0)</f>
        <v/>
      </c>
      <c r="F15" s="6">
        <f>IFERROR(SUMIF('Roster Log'!B:B,"Charlotte Wilson",'Roster Log'!Q:Q),0)</f>
        <v/>
      </c>
    </row>
    <row r="16">
      <c r="A16" s="31" t="inlineStr">
        <is>
          <t>Noah Taylor</t>
        </is>
      </c>
      <c r="B16" s="31" t="inlineStr">
        <is>
          <t>Electrician</t>
        </is>
      </c>
      <c r="C16" s="31" t="inlineStr">
        <is>
          <t>Port Hedland</t>
        </is>
      </c>
      <c r="D16" s="32">
        <f>IFERROR(SUMIF('Roster Log'!B:B,"Noah Taylor",'Roster Log'!L:L),0)</f>
        <v/>
      </c>
      <c r="E16" s="61">
        <f>IFERROR(SUMIF('Roster Log'!B:B,"Noah Taylor",'Roster Log'!P:P),0)</f>
        <v/>
      </c>
      <c r="F16" s="14">
        <f>IFERROR(SUMIF('Roster Log'!B:B,"Noah Taylor",'Roster Log'!Q:Q),0)</f>
        <v/>
      </c>
    </row>
    <row r="17">
      <c r="A17" s="34" t="inlineStr">
        <is>
          <t>Mia Johnson</t>
        </is>
      </c>
      <c r="B17" s="34" t="inlineStr">
        <is>
          <t>Geologist</t>
        </is>
      </c>
      <c r="C17" s="34" t="inlineStr">
        <is>
          <t>Pilbara</t>
        </is>
      </c>
      <c r="D17" s="35">
        <f>IFERROR(SUMIF('Roster Log'!B:B,"Mia Johnson",'Roster Log'!L:L),0)</f>
        <v/>
      </c>
      <c r="E17" s="62">
        <f>IFERROR(SUMIF('Roster Log'!B:B,"Mia Johnson",'Roster Log'!P:P),0)</f>
        <v/>
      </c>
      <c r="F17" s="6">
        <f>IFERROR(SUMIF('Roster Log'!B:B,"Mia Johnson",'Roster Log'!Q:Q),0)</f>
        <v/>
      </c>
    </row>
    <row r="18">
      <c r="A18" s="31" t="inlineStr">
        <is>
          <t>Ethan Scott</t>
        </is>
      </c>
      <c r="B18" s="31" t="inlineStr">
        <is>
          <t>Camp Manager</t>
        </is>
      </c>
      <c r="C18" s="31" t="inlineStr">
        <is>
          <t>Mackay</t>
        </is>
      </c>
      <c r="D18" s="32">
        <f>IFERROR(SUMIF('Roster Log'!B:B,"Ethan Scott",'Roster Log'!L:L),0)</f>
        <v/>
      </c>
      <c r="E18" s="61">
        <f>IFERROR(SUMIF('Roster Log'!B:B,"Ethan Scott",'Roster Log'!P:P),0)</f>
        <v/>
      </c>
      <c r="F18" s="14">
        <f>IFERROR(SUMIF('Roster Log'!B:B,"Ethan Scott",'Roster Log'!Q:Q),0)</f>
        <v/>
      </c>
    </row>
    <row r="19">
      <c r="A19" s="34" t="inlineStr">
        <is>
          <t>Ruby Martin</t>
        </is>
      </c>
      <c r="B19" s="34" t="inlineStr">
        <is>
          <t>Diesel Fitter</t>
        </is>
      </c>
      <c r="C19" s="34" t="inlineStr">
        <is>
          <t>Bowen Basin</t>
        </is>
      </c>
      <c r="D19" s="35">
        <f>IFERROR(SUMIF('Roster Log'!B:B,"Ruby Martin",'Roster Log'!L:L),0)</f>
        <v/>
      </c>
      <c r="E19" s="62">
        <f>IFERROR(SUMIF('Roster Log'!B:B,"Ruby Martin",'Roster Log'!P:P),0)</f>
        <v/>
      </c>
      <c r="F19" s="6">
        <f>IFERROR(SUMIF('Roster Log'!B:B,"Ruby Martin",'Roster Log'!Q:Q),0)</f>
        <v/>
      </c>
    </row>
    <row r="20">
      <c r="A20" s="31" t="inlineStr">
        <is>
          <t>Cooper Davis</t>
        </is>
      </c>
      <c r="B20" s="31" t="inlineStr">
        <is>
          <t>HSE Advisor</t>
        </is>
      </c>
      <c r="C20" s="31" t="inlineStr">
        <is>
          <t>Karratha</t>
        </is>
      </c>
      <c r="D20" s="32">
        <f>IFERROR(SUMIF('Roster Log'!B:B,"Cooper Davis",'Roster Log'!L:L),0)</f>
        <v/>
      </c>
      <c r="E20" s="61">
        <f>IFERROR(SUMIF('Roster Log'!B:B,"Cooper Davis",'Roster Log'!P:P),0)</f>
        <v/>
      </c>
      <c r="F20" s="14">
        <f>IFERROR(SUMIF('Roster Log'!B:B,"Cooper Davis",'Roster Log'!Q:Q),0)</f>
        <v/>
      </c>
    </row>
    <row r="21">
      <c r="A21" s="34" t="inlineStr">
        <is>
          <t>Isla Clark</t>
        </is>
      </c>
      <c r="B21" s="34" t="inlineStr">
        <is>
          <t>Environmental Scientist</t>
        </is>
      </c>
      <c r="C21" s="34" t="inlineStr">
        <is>
          <t>Gladstone</t>
        </is>
      </c>
      <c r="D21" s="35">
        <f>IFERROR(SUMIF('Roster Log'!B:B,"Isla Clark",'Roster Log'!L:L),0)</f>
        <v/>
      </c>
      <c r="E21" s="62">
        <f>IFERROR(SUMIF('Roster Log'!B:B,"Isla Clark",'Roster Log'!P:P),0)</f>
        <v/>
      </c>
      <c r="F21" s="6">
        <f>IFERROR(SUMIF('Roster Log'!B:B,"Isla Clark",'Roster Log'!Q:Q),0)</f>
        <v/>
      </c>
    </row>
    <row r="22"/>
    <row r="23"/>
    <row r="24">
      <c r="A24" s="29" t="inlineStr">
        <is>
          <t>Summary by Site Location</t>
        </is>
      </c>
      <c r="B24" s="19" t="n"/>
      <c r="C24" s="19" t="n"/>
      <c r="D24" s="19" t="n"/>
      <c r="E24" s="20" t="n"/>
    </row>
    <row r="25">
      <c r="A25" s="30" t="inlineStr">
        <is>
          <t>Site Location</t>
        </is>
      </c>
      <c r="B25" s="30" t="inlineStr">
        <is>
          <t>Total Swings</t>
        </is>
      </c>
      <c r="C25" s="30" t="inlineStr">
        <is>
          <t>Total Roster Days</t>
        </is>
      </c>
      <c r="D25" s="30" t="inlineStr">
        <is>
          <t>Avg Roster Length</t>
        </is>
      </c>
      <c r="E25" s="30" t="inlineStr">
        <is>
          <t>Total Gross Pay ($)</t>
        </is>
      </c>
    </row>
    <row r="26">
      <c r="A26" s="31" t="inlineStr">
        <is>
          <t>Pilbara</t>
        </is>
      </c>
      <c r="B26" s="14">
        <f>IFERROR(COUNTIF('Roster Log'!E:E,"Pilbara"),0)</f>
        <v/>
      </c>
      <c r="C26" s="14">
        <f>IFERROR(SUMIF('Roster Log'!E:E,"Pilbara",'Roster Log'!L:L),0)</f>
        <v/>
      </c>
      <c r="D26" s="63">
        <f>IFERROR(AVERAGEIF('Roster Log'!E:E,"Pilbara",'Roster Log'!L:L),0)</f>
        <v/>
      </c>
      <c r="E26" s="61">
        <f>IFERROR(SUMIF('Roster Log'!E:E,"Pilbara",'Roster Log'!P:P),0)</f>
        <v/>
      </c>
    </row>
    <row r="27">
      <c r="A27" s="34" t="inlineStr">
        <is>
          <t>Karratha</t>
        </is>
      </c>
      <c r="B27" s="6">
        <f>IFERROR(COUNTIF('Roster Log'!E:E,"Karratha"),0)</f>
        <v/>
      </c>
      <c r="C27" s="6">
        <f>IFERROR(SUMIF('Roster Log'!E:E,"Karratha",'Roster Log'!L:L),0)</f>
        <v/>
      </c>
      <c r="D27" s="64">
        <f>IFERROR(AVERAGEIF('Roster Log'!E:E,"Karratha",'Roster Log'!L:L),0)</f>
        <v/>
      </c>
      <c r="E27" s="62">
        <f>IFERROR(SUMIF('Roster Log'!E:E,"Karratha",'Roster Log'!P:P),0)</f>
        <v/>
      </c>
    </row>
    <row r="28">
      <c r="A28" s="31" t="inlineStr">
        <is>
          <t>Port Hedland</t>
        </is>
      </c>
      <c r="B28" s="14">
        <f>IFERROR(COUNTIF('Roster Log'!E:E,"Port Hedland"),0)</f>
        <v/>
      </c>
      <c r="C28" s="14">
        <f>IFERROR(SUMIF('Roster Log'!E:E,"Port Hedland",'Roster Log'!L:L),0)</f>
        <v/>
      </c>
      <c r="D28" s="63">
        <f>IFERROR(AVERAGEIF('Roster Log'!E:E,"Port Hedland",'Roster Log'!L:L),0)</f>
        <v/>
      </c>
      <c r="E28" s="61">
        <f>IFERROR(SUMIF('Roster Log'!E:E,"Port Hedland",'Roster Log'!P:P),0)</f>
        <v/>
      </c>
    </row>
    <row r="29">
      <c r="A29" s="34" t="inlineStr">
        <is>
          <t>Bowen Basin</t>
        </is>
      </c>
      <c r="B29" s="6">
        <f>IFERROR(COUNTIF('Roster Log'!E:E,"Bowen Basin"),0)</f>
        <v/>
      </c>
      <c r="C29" s="6">
        <f>IFERROR(SUMIF('Roster Log'!E:E,"Bowen Basin",'Roster Log'!L:L),0)</f>
        <v/>
      </c>
      <c r="D29" s="64">
        <f>IFERROR(AVERAGEIF('Roster Log'!E:E,"Bowen Basin",'Roster Log'!L:L),0)</f>
        <v/>
      </c>
      <c r="E29" s="62">
        <f>IFERROR(SUMIF('Roster Log'!E:E,"Bowen Basin",'Roster Log'!P:P),0)</f>
        <v/>
      </c>
    </row>
    <row r="30">
      <c r="A30" s="31" t="inlineStr">
        <is>
          <t>Newman</t>
        </is>
      </c>
      <c r="B30" s="14">
        <f>IFERROR(COUNTIF('Roster Log'!E:E,"Newman"),0)</f>
        <v/>
      </c>
      <c r="C30" s="14">
        <f>IFERROR(SUMIF('Roster Log'!E:E,"Newman",'Roster Log'!L:L),0)</f>
        <v/>
      </c>
      <c r="D30" s="63">
        <f>IFERROR(AVERAGEIF('Roster Log'!E:E,"Newman",'Roster Log'!L:L),0)</f>
        <v/>
      </c>
      <c r="E30" s="61">
        <f>IFERROR(SUMIF('Roster Log'!E:E,"Newman",'Roster Log'!P:P),0)</f>
        <v/>
      </c>
    </row>
    <row r="31">
      <c r="A31" s="34" t="inlineStr">
        <is>
          <t>Mackay</t>
        </is>
      </c>
      <c r="B31" s="6">
        <f>IFERROR(COUNTIF('Roster Log'!E:E,"Mackay"),0)</f>
        <v/>
      </c>
      <c r="C31" s="6">
        <f>IFERROR(SUMIF('Roster Log'!E:E,"Mackay",'Roster Log'!L:L),0)</f>
        <v/>
      </c>
      <c r="D31" s="64">
        <f>IFERROR(AVERAGEIF('Roster Log'!E:E,"Mackay",'Roster Log'!L:L),0)</f>
        <v/>
      </c>
      <c r="E31" s="62">
        <f>IFERROR(SUMIF('Roster Log'!E:E,"Mackay",'Roster Log'!P:P),0)</f>
        <v/>
      </c>
    </row>
    <row r="32">
      <c r="A32" s="31" t="inlineStr">
        <is>
          <t>Gladstone</t>
        </is>
      </c>
      <c r="B32" s="14">
        <f>IFERROR(COUNTIF('Roster Log'!E:E,"Gladstone"),0)</f>
        <v/>
      </c>
      <c r="C32" s="14">
        <f>IFERROR(SUMIF('Roster Log'!E:E,"Gladstone",'Roster Log'!L:L),0)</f>
        <v/>
      </c>
      <c r="D32" s="63">
        <f>IFERROR(AVERAGEIF('Roster Log'!E:E,"Gladstone",'Roster Log'!L:L),0)</f>
        <v/>
      </c>
      <c r="E32" s="61">
        <f>IFERROR(SUMIF('Roster Log'!E:E,"Gladstone",'Roster Log'!P:P),0)</f>
        <v/>
      </c>
    </row>
    <row r="33"/>
    <row r="34"/>
    <row r="35">
      <c r="A35" s="29" t="inlineStr">
        <is>
          <t>Summary by Month (2026)</t>
        </is>
      </c>
      <c r="B35" s="19" t="n"/>
      <c r="C35" s="19" t="n"/>
      <c r="D35" s="20" t="n"/>
      <c r="H35" s="39" t="inlineStr">
        <is>
          <t>Status</t>
        </is>
      </c>
      <c r="I35" s="39" t="inlineStr">
        <is>
          <t>Count</t>
        </is>
      </c>
    </row>
    <row r="36">
      <c r="A36" s="30" t="inlineStr">
        <is>
          <t>Month</t>
        </is>
      </c>
      <c r="B36" s="30" t="inlineStr">
        <is>
          <t>Total Roster Days</t>
        </is>
      </c>
      <c r="C36" s="30" t="inlineStr">
        <is>
          <t>Total Gross Pay ($)</t>
        </is>
      </c>
      <c r="D36" s="30" t="inlineStr">
        <is>
          <t>Active Count</t>
        </is>
      </c>
      <c r="H36" s="40" t="inlineStr">
        <is>
          <t>Active</t>
        </is>
      </c>
      <c r="I36" s="41">
        <f>COUNTIF('Roster Log'!R:R,"Active")</f>
        <v/>
      </c>
    </row>
    <row r="37">
      <c r="A37" s="10" t="inlineStr">
        <is>
          <t>Jan-26</t>
        </is>
      </c>
      <c r="B37" s="6" t="n">
        <v>28</v>
      </c>
      <c r="C37" s="62" t="n">
        <v>24700</v>
      </c>
      <c r="D37" s="6">
        <f>COUNTIF('Roster Log'!R:R,"Active")</f>
        <v/>
      </c>
      <c r="H37" s="40" t="inlineStr">
        <is>
          <t>On Leave</t>
        </is>
      </c>
      <c r="I37" s="41">
        <f>COUNTIF('Roster Log'!R:R,"On Leave")</f>
        <v/>
      </c>
    </row>
    <row r="38">
      <c r="A38" s="16" t="inlineStr">
        <is>
          <t>Feb-26</t>
        </is>
      </c>
      <c r="B38" s="14" t="n">
        <v>56</v>
      </c>
      <c r="C38" s="61" t="n">
        <v>30560</v>
      </c>
      <c r="D38" s="14">
        <f>COUNTIF('Roster Log'!R:R,"Active")</f>
        <v/>
      </c>
      <c r="H38" s="40" t="inlineStr">
        <is>
          <t>Pending</t>
        </is>
      </c>
      <c r="I38" s="41">
        <f>COUNTIF('Roster Log'!R:R,"Pending")</f>
        <v/>
      </c>
    </row>
    <row r="39">
      <c r="A39" s="10" t="inlineStr">
        <is>
          <t>Mar-26</t>
        </is>
      </c>
      <c r="B39" s="6" t="n">
        <v>42</v>
      </c>
      <c r="C39" s="62" t="n">
        <v>28440</v>
      </c>
      <c r="D39" s="6">
        <f>COUNTIF('Roster Log'!R:R,"Active")</f>
        <v/>
      </c>
    </row>
    <row r="40">
      <c r="A40" s="16" t="inlineStr">
        <is>
          <t>Apr-26</t>
        </is>
      </c>
      <c r="B40" s="14" t="n">
        <v>28</v>
      </c>
      <c r="C40" s="61" t="n">
        <v>22320</v>
      </c>
      <c r="D40" s="14">
        <f>COUNTIF('Roster Log'!R:R,"Active")</f>
        <v/>
      </c>
    </row>
    <row r="41">
      <c r="A41" s="10" t="inlineStr">
        <is>
          <t>May-26</t>
        </is>
      </c>
      <c r="B41" s="6" t="n">
        <v>14</v>
      </c>
      <c r="C41" s="62" t="n">
        <v>17400</v>
      </c>
      <c r="D41" s="6">
        <f>COUNTIF('Roster Log'!R:R,"Active")</f>
        <v/>
      </c>
    </row>
    <row r="42">
      <c r="A42" s="16" t="inlineStr">
        <is>
          <t>Jun-26</t>
        </is>
      </c>
      <c r="B42" s="14" t="n">
        <v>14</v>
      </c>
      <c r="C42" s="61" t="n">
        <v>15680</v>
      </c>
      <c r="D42" s="14">
        <f>COUNTIF('Roster Log'!R:R,"Active")</f>
        <v/>
      </c>
    </row>
  </sheetData>
  <mergeCells count="18">
    <mergeCell ref="A1:O1"/>
    <mergeCell ref="A3:C3"/>
    <mergeCell ref="A4:C4"/>
    <mergeCell ref="D3:F3"/>
    <mergeCell ref="D4:F4"/>
    <mergeCell ref="G3:I3"/>
    <mergeCell ref="G4:I4"/>
    <mergeCell ref="J3:L3"/>
    <mergeCell ref="J4:L4"/>
    <mergeCell ref="M3:O3"/>
    <mergeCell ref="M4:O4"/>
    <mergeCell ref="A6:C6"/>
    <mergeCell ref="A7:C7"/>
    <mergeCell ref="D6:F6"/>
    <mergeCell ref="D7:F7"/>
    <mergeCell ref="A10:F10"/>
    <mergeCell ref="A24:E24"/>
    <mergeCell ref="A35:D35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22" customWidth="1" min="1" max="1"/>
    <col width="7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 ht="32" customHeight="1">
      <c r="A1" s="1" t="inlineStr">
        <is>
          <t>FIFO Roster Tracker — Instructions &amp; User Guide</t>
        </is>
      </c>
    </row>
    <row r="2" ht="40" customHeight="1">
      <c r="A2" s="42" t="inlineStr">
        <is>
          <t>PURPOSE</t>
        </is>
      </c>
      <c r="B2" s="43" t="inlineStr">
        <is>
          <t>This workbook tracks FIFO employee rosters for Australian mining and energy projects. Enter roster data in the 'Roster Log' sheet. View summaries and charts in 'Roster Summary'.</t>
        </is>
      </c>
      <c r="C2" s="19" t="n"/>
      <c r="D2" s="19" t="n"/>
      <c r="E2" s="19" t="n"/>
      <c r="F2" s="19" t="n"/>
      <c r="G2" s="20" t="n"/>
    </row>
    <row r="3" ht="40" customHeight="1">
      <c r="A3" s="44" t="inlineStr">
        <is>
          <t>ROSTER LOG</t>
        </is>
      </c>
      <c r="B3" s="43" t="inlineStr">
        <is>
          <t>Enter one row per employee roster swing. Fill in Employee ID, Name, Role, Home City, Site, Project, Roster Start/End dates, Swing Type, Travel Days, Daily Rate, and Allowances. Calculated fields (Days on Site, Total Roster Days, Gross Pay, Status) auto-populate via formulas.</t>
        </is>
      </c>
      <c r="C3" s="19" t="n"/>
      <c r="D3" s="19" t="n"/>
      <c r="E3" s="19" t="n"/>
      <c r="F3" s="19" t="n"/>
      <c r="G3" s="20" t="n"/>
    </row>
    <row r="4" ht="40" customHeight="1">
      <c r="A4" s="30" t="inlineStr">
        <is>
          <t>SWING TYPE</t>
        </is>
      </c>
      <c r="B4" s="43" t="inlineStr">
        <is>
          <t>Select from the dropdown: 2&amp;1, 3&amp;1, 4&amp;2, 8&amp;6, 14&amp;7, 28&amp;9. These represent 'days on site &amp; days off'. For example, 14&amp;7 means 14 days on site followed by 7 days off.</t>
        </is>
      </c>
      <c r="C4" s="19" t="n"/>
      <c r="D4" s="19" t="n"/>
      <c r="E4" s="19" t="n"/>
      <c r="F4" s="19" t="n"/>
      <c r="G4" s="20" t="n"/>
    </row>
    <row r="5" ht="40" customHeight="1">
      <c r="A5" s="30" t="inlineStr">
        <is>
          <t>TRAVEL DAYS</t>
        </is>
      </c>
      <c r="B5" s="43" t="inlineStr">
        <is>
          <t>Enter the number of travel days per swing (typically 1–3 days). Travel days attract the Travel Allowance and are factored into Gross Roster Pay.</t>
        </is>
      </c>
      <c r="C5" s="19" t="n"/>
      <c r="D5" s="19" t="n"/>
      <c r="E5" s="19" t="n"/>
      <c r="F5" s="19" t="n"/>
      <c r="G5" s="20" t="n"/>
    </row>
    <row r="6" ht="40" customHeight="1">
      <c r="A6" s="30" t="inlineStr">
        <is>
          <t>SITE ALLOWANCE</t>
        </is>
      </c>
      <c r="B6" s="43" t="inlineStr">
        <is>
          <t>Daily site allowance paid in addition to Base Daily Rate for each day on site. Typical range: $80–$150 AUD per day depending on site remoteness and enterprise agreement.</t>
        </is>
      </c>
      <c r="C6" s="19" t="n"/>
      <c r="D6" s="19" t="n"/>
      <c r="E6" s="19" t="n"/>
      <c r="F6" s="19" t="n"/>
      <c r="G6" s="20" t="n"/>
    </row>
    <row r="7" ht="40" customHeight="1">
      <c r="A7" s="30" t="inlineStr">
        <is>
          <t>LEAVE TAKEN</t>
        </is>
      </c>
      <c r="B7" s="43" t="inlineStr">
        <is>
          <t>Enter the number of leave days taken during this roster swing (annual leave, sick leave, etc.). A non-zero entry will auto-set Status to 'On Leave'.</t>
        </is>
      </c>
      <c r="C7" s="19" t="n"/>
      <c r="D7" s="19" t="n"/>
      <c r="E7" s="19" t="n"/>
      <c r="F7" s="19" t="n"/>
      <c r="G7" s="20" t="n"/>
    </row>
    <row r="8" ht="40" customHeight="1">
      <c r="A8" s="30" t="inlineStr">
        <is>
          <t>STATUS</t>
        </is>
      </c>
      <c r="B8" s="43" t="inlineStr">
        <is>
          <t>Auto-calculated: 'Active' (no leave), 'On Leave' (leave &gt; 0), 'Pending' (no leave entry yet). Can also be manually overridden using the dropdown.</t>
        </is>
      </c>
      <c r="C8" s="19" t="n"/>
      <c r="D8" s="19" t="n"/>
      <c r="E8" s="19" t="n"/>
      <c r="F8" s="19" t="n"/>
      <c r="G8" s="20" t="n"/>
    </row>
    <row r="9" ht="40" customHeight="1">
      <c r="A9" s="42" t="inlineStr">
        <is>
          <t>DATE FORMAT</t>
        </is>
      </c>
      <c r="B9" s="43" t="inlineStr">
        <is>
          <t>All dates must be entered in DD/MM/YYYY format (Australian standard). Example: 05/01/2026 for 5 January 2026.</t>
        </is>
      </c>
      <c r="C9" s="19" t="n"/>
      <c r="D9" s="19" t="n"/>
      <c r="E9" s="19" t="n"/>
      <c r="F9" s="19" t="n"/>
      <c r="G9" s="20" t="n"/>
    </row>
    <row r="10" ht="40" customHeight="1">
      <c r="A10" s="42" t="inlineStr">
        <is>
          <t>CURRENCY</t>
        </is>
      </c>
      <c r="B10" s="43" t="inlineStr">
        <is>
          <t>All monetary values are in Australian Dollars (AUD). Format: $#,##0.00 (e.g. $1,250.00). GST is not included; ATO/payroll export can be configured separately as needed.</t>
        </is>
      </c>
      <c r="C10" s="19" t="n"/>
      <c r="D10" s="19" t="n"/>
      <c r="E10" s="19" t="n"/>
      <c r="F10" s="19" t="n"/>
      <c r="G10" s="20" t="n"/>
    </row>
    <row r="11" ht="40" customHeight="1">
      <c r="A11" s="44" t="inlineStr">
        <is>
          <t>GROSS ROSTER PAY</t>
        </is>
      </c>
      <c r="B11" s="43" t="inlineStr">
        <is>
          <t>Calculated as: (Base Daily Rate × Days on Site) + (Site Allowance × Travel Days). This is pre-tax gross pay for the roster swing. PAYG withholding and superannuation (11.5% from 1 July 2026) are not included here.</t>
        </is>
      </c>
      <c r="C11" s="19" t="n"/>
      <c r="D11" s="19" t="n"/>
      <c r="E11" s="19" t="n"/>
      <c r="F11" s="19" t="n"/>
      <c r="G11" s="20" t="n"/>
    </row>
    <row r="12" ht="40" customHeight="1">
      <c r="A12" s="44" t="inlineStr">
        <is>
          <t>ROSTER SUMMARY</t>
        </is>
      </c>
      <c r="B12" s="43" t="inlineStr">
        <is>
          <t>The Roster Summary sheet shows KPI tiles (total days, gross pay, leave rate), breakdowns by Employee, Site and Month, plus three charts: Gross Pay by Site (column), Monthly Roster Days Trend (line), and Roster Status Split (pie).</t>
        </is>
      </c>
      <c r="C12" s="19" t="n"/>
      <c r="D12" s="19" t="n"/>
      <c r="E12" s="19" t="n"/>
      <c r="F12" s="19" t="n"/>
      <c r="G12" s="20" t="n"/>
    </row>
    <row r="13" ht="40" customHeight="1">
      <c r="A13" s="45" t="inlineStr">
        <is>
          <t>GST / ATO NOTE</t>
        </is>
      </c>
      <c r="B13" s="43" t="inlineStr">
        <is>
          <t>This tracker covers gross roster pay only. For BAS lodgement, ATO STP Phase 2 reporting, or superannuation calculations, export data to your payroll system (e.g. Xero, MYOB, KeyPay). ABN and TFN fields can be added to the Employee ID column as needed.</t>
        </is>
      </c>
      <c r="C13" s="19" t="n"/>
      <c r="D13" s="19" t="n"/>
      <c r="E13" s="19" t="n"/>
      <c r="F13" s="19" t="n"/>
      <c r="G13" s="20" t="n"/>
    </row>
    <row r="14"/>
    <row r="15" ht="24" customHeight="1">
      <c r="A15" s="46" t="inlineStr">
        <is>
          <t>COLOUR KEY</t>
        </is>
      </c>
      <c r="B15" s="19" t="n"/>
      <c r="C15" s="19" t="n"/>
      <c r="D15" s="19" t="n"/>
      <c r="E15" s="19" t="n"/>
      <c r="F15" s="19" t="n"/>
      <c r="G15" s="20" t="n"/>
    </row>
    <row r="16" ht="22" customHeight="1">
      <c r="A16" s="42" t="inlineStr">
        <is>
          <t>Dark Navy</t>
        </is>
      </c>
      <c r="B16" s="47" t="inlineStr">
        <is>
          <t>Column headers and totals rows</t>
        </is>
      </c>
      <c r="C16" s="19" t="n"/>
      <c r="D16" s="19" t="n"/>
      <c r="E16" s="19" t="n"/>
      <c r="F16" s="19" t="n"/>
      <c r="G16" s="20" t="n"/>
    </row>
    <row r="17" ht="22" customHeight="1">
      <c r="A17" s="44" t="inlineStr">
        <is>
          <t>Dark Green</t>
        </is>
      </c>
      <c r="B17" s="47" t="inlineStr">
        <is>
          <t>Section sub-headers and KPI labels</t>
        </is>
      </c>
      <c r="C17" s="19" t="n"/>
      <c r="D17" s="19" t="n"/>
      <c r="E17" s="19" t="n"/>
      <c r="F17" s="19" t="n"/>
      <c r="G17" s="20" t="n"/>
    </row>
    <row r="18" ht="22" customHeight="1">
      <c r="A18" s="30" t="inlineStr">
        <is>
          <t>Teal</t>
        </is>
      </c>
      <c r="B18" s="47" t="inlineStr">
        <is>
          <t>Sub-headers in summary tables</t>
        </is>
      </c>
      <c r="C18" s="19" t="n"/>
      <c r="D18" s="19" t="n"/>
      <c r="E18" s="19" t="n"/>
      <c r="F18" s="19" t="n"/>
      <c r="G18" s="20" t="n"/>
    </row>
    <row r="19" ht="22" customHeight="1">
      <c r="A19" s="48" t="inlineStr">
        <is>
          <t>Pale Yellow</t>
        </is>
      </c>
      <c r="B19" s="47" t="inlineStr">
        <is>
          <t>Input cells — editable fields where you enter data</t>
        </is>
      </c>
      <c r="C19" s="19" t="n"/>
      <c r="D19" s="19" t="n"/>
      <c r="E19" s="19" t="n"/>
      <c r="F19" s="19" t="n"/>
      <c r="G19" s="20" t="n"/>
    </row>
    <row r="20" ht="22" customHeight="1">
      <c r="A20" s="49" t="inlineStr">
        <is>
          <t>Light Green</t>
        </is>
      </c>
      <c r="B20" s="47" t="inlineStr">
        <is>
          <t>Active roster rows</t>
        </is>
      </c>
      <c r="C20" s="19" t="n"/>
      <c r="D20" s="19" t="n"/>
      <c r="E20" s="19" t="n"/>
      <c r="F20" s="19" t="n"/>
      <c r="G20" s="20" t="n"/>
    </row>
    <row r="21" ht="22" customHeight="1">
      <c r="A21" s="50" t="inlineStr">
        <is>
          <t>Light Yellow</t>
        </is>
      </c>
      <c r="B21" s="47" t="inlineStr">
        <is>
          <t>On Leave roster rows</t>
        </is>
      </c>
      <c r="C21" s="19" t="n"/>
      <c r="D21" s="19" t="n"/>
      <c r="E21" s="19" t="n"/>
      <c r="F21" s="19" t="n"/>
      <c r="G21" s="20" t="n"/>
    </row>
    <row r="22" ht="22" customHeight="1">
      <c r="A22" s="51" t="inlineStr">
        <is>
          <t>Light Red</t>
        </is>
      </c>
      <c r="B22" s="47" t="inlineStr">
        <is>
          <t>Pending roster rows or alert conditions</t>
        </is>
      </c>
      <c r="C22" s="19" t="n"/>
      <c r="D22" s="19" t="n"/>
      <c r="E22" s="19" t="n"/>
      <c r="F22" s="19" t="n"/>
      <c r="G22" s="20" t="n"/>
    </row>
    <row r="23" ht="22" customHeight="1">
      <c r="A23" s="52" t="inlineStr">
        <is>
          <t>Pale Grey</t>
        </is>
      </c>
      <c r="B23" s="47" t="inlineStr">
        <is>
          <t>Alternating data rows for readability</t>
        </is>
      </c>
      <c r="C23" s="19" t="n"/>
      <c r="D23" s="19" t="n"/>
      <c r="E23" s="19" t="n"/>
      <c r="F23" s="19" t="n"/>
      <c r="G23" s="20" t="n"/>
    </row>
  </sheetData>
  <mergeCells count="22">
    <mergeCell ref="A1:G1"/>
    <mergeCell ref="B2:G2"/>
    <mergeCell ref="B3:G3"/>
    <mergeCell ref="B4:G4"/>
    <mergeCell ref="B5:G5"/>
    <mergeCell ref="B6:G6"/>
    <mergeCell ref="B7:G7"/>
    <mergeCell ref="B8:G8"/>
    <mergeCell ref="B9:G9"/>
    <mergeCell ref="B10:G10"/>
    <mergeCell ref="B11:G11"/>
    <mergeCell ref="B12:G12"/>
    <mergeCell ref="B13:G13"/>
    <mergeCell ref="A15:G15"/>
    <mergeCell ref="B16:G16"/>
    <mergeCell ref="B17:G17"/>
    <mergeCell ref="B18:G18"/>
    <mergeCell ref="B19:G19"/>
    <mergeCell ref="B20:G20"/>
    <mergeCell ref="B21:G21"/>
    <mergeCell ref="B22:G22"/>
    <mergeCell ref="B23:G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2026-06-22T03:30:31Z</dcterms:created>
  <dcterms:modified xmlns:dcterms="http://purl.org/dc/terms/" xmlns:xsi="http://www.w3.org/2001/XMLSchema-instance" xsi:type="dcterms:W3CDTF">2026-06-22T03:30:31Z</dcterms:modified>
</cp:coreProperties>
</file>