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ttings" sheetId="1" state="visible" r:id="rId1"/>
    <sheet xmlns:r="http://schemas.openxmlformats.org/officeDocument/2006/relationships" name="Employee Tracker" sheetId="2" state="visible" r:id="rId2"/>
    <sheet xmlns:r="http://schemas.openxmlformats.org/officeDocument/2006/relationships" name="Summary"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
    <numFmt numFmtId="166" formatCode="$#,##0.00"/>
  </numFmts>
  <fonts count="5">
    <font>
      <name val="Calibri"/>
      <family val="2"/>
      <color theme="1"/>
      <sz val="11"/>
      <scheme val="minor"/>
    </font>
    <font>
      <b val="1"/>
      <color rgb="001E293B"/>
      <sz val="14"/>
    </font>
    <font>
      <b val="1"/>
    </font>
    <font>
      <b val="1"/>
      <color rgb="00FFFFFF"/>
    </font>
    <font>
      <b val="1"/>
      <color rgb="00FFFFFF"/>
      <sz val="11"/>
    </font>
  </fonts>
  <fills count="6">
    <fill>
      <patternFill/>
    </fill>
    <fill>
      <patternFill patternType="gray125"/>
    </fill>
    <fill>
      <patternFill patternType="solid">
        <fgColor rgb="00FFFBEB"/>
      </patternFill>
    </fill>
    <fill>
      <patternFill patternType="solid">
        <fgColor rgb="00006A4E"/>
      </patternFill>
    </fill>
    <fill>
      <patternFill patternType="solid">
        <fgColor rgb="00F8FAFC"/>
      </patternFill>
    </fill>
    <fill>
      <patternFill patternType="solid">
        <fgColor rgb="001E293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1">
    <xf numFmtId="0" fontId="0" fillId="0" borderId="0" pivotButton="0" quotePrefix="0" xfId="0"/>
    <xf numFmtId="0" fontId="1" fillId="0" borderId="0" pivotButton="0" quotePrefix="0" xfId="0"/>
    <xf numFmtId="0" fontId="2" fillId="0" borderId="1" pivotButton="0" quotePrefix="0" xfId="0"/>
    <xf numFmtId="0" fontId="0" fillId="2" borderId="1" applyAlignment="1" pivotButton="0" quotePrefix="0" xfId="0">
      <alignment horizontal="center" vertical="center" wrapText="1"/>
    </xf>
    <xf numFmtId="0" fontId="3" fillId="3" borderId="1" pivotButton="0" quotePrefix="0" xfId="0"/>
    <xf numFmtId="0" fontId="0" fillId="3" borderId="1" pivotButton="0" quotePrefix="0" xfId="0"/>
    <xf numFmtId="0" fontId="3" fillId="3"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0" borderId="1" applyAlignment="1" pivotButton="0" quotePrefix="0" xfId="0">
      <alignment horizontal="center" vertical="center" wrapText="1"/>
    </xf>
    <xf numFmtId="0" fontId="0" fillId="4" borderId="1" applyAlignment="1" pivotButton="0" quotePrefix="0" xfId="0">
      <alignment horizontal="left" vertical="center" wrapText="1"/>
    </xf>
    <xf numFmtId="0" fontId="0"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0" fillId="2" borderId="1" applyAlignment="1" pivotButton="0" quotePrefix="0" xfId="0">
      <alignment horizontal="left" vertical="center" wrapText="1"/>
    </xf>
    <xf numFmtId="164" fontId="0" fillId="2" borderId="1" applyAlignment="1" pivotButton="0" quotePrefix="0" xfId="0">
      <alignment horizontal="center" vertical="center" wrapText="1"/>
    </xf>
    <xf numFmtId="165" fontId="0" fillId="2" borderId="1" applyAlignment="1" pivotButton="0" quotePrefix="0" xfId="0">
      <alignment horizontal="center" vertical="center" wrapText="1"/>
    </xf>
    <xf numFmtId="164" fontId="0" fillId="0" borderId="1" applyAlignment="1" pivotButton="0" quotePrefix="0" xfId="0">
      <alignment horizontal="center" vertical="center" wrapText="1"/>
    </xf>
    <xf numFmtId="166" fontId="0" fillId="2" borderId="1" applyAlignment="1" pivotButton="0" quotePrefix="0" xfId="0">
      <alignment horizontal="center" vertical="center" wrapText="1"/>
    </xf>
    <xf numFmtId="2" fontId="0" fillId="0" borderId="1" applyAlignment="1" pivotButton="0" quotePrefix="0" xfId="0">
      <alignment horizontal="center" vertical="center" wrapText="1"/>
    </xf>
    <xf numFmtId="165" fontId="0" fillId="0" borderId="1" applyAlignment="1" pivotButton="0" quotePrefix="0" xfId="0">
      <alignment horizontal="center" vertical="center" wrapText="1"/>
    </xf>
    <xf numFmtId="2" fontId="0" fillId="2" borderId="1" applyAlignment="1" pivotButton="0" quotePrefix="0" xfId="0">
      <alignment horizontal="center" vertical="center" wrapText="1"/>
    </xf>
    <xf numFmtId="166" fontId="0" fillId="0" borderId="1" applyAlignment="1" pivotButton="0" quotePrefix="0" xfId="0">
      <alignment horizontal="center" vertical="center" wrapText="1"/>
    </xf>
    <xf numFmtId="164" fontId="0" fillId="4" borderId="1" applyAlignment="1" pivotButton="0" quotePrefix="0" xfId="0">
      <alignment horizontal="center" vertical="center" wrapText="1"/>
    </xf>
    <xf numFmtId="2"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166" fontId="0" fillId="4" borderId="1" applyAlignment="1" pivotButton="0" quotePrefix="0" xfId="0">
      <alignment horizontal="center" vertical="center" wrapText="1"/>
    </xf>
    <xf numFmtId="1" fontId="0" fillId="0" borderId="1" pivotButton="0" quotePrefix="0" xfId="0"/>
    <xf numFmtId="0" fontId="0" fillId="0" borderId="1" pivotButton="0" quotePrefix="0" xfId="0"/>
    <xf numFmtId="0" fontId="2" fillId="4" borderId="1" pivotButton="0" quotePrefix="0" xfId="0"/>
    <xf numFmtId="2" fontId="0" fillId="4" borderId="1" pivotButton="0" quotePrefix="0" xfId="0"/>
    <xf numFmtId="166" fontId="0" fillId="0" borderId="1" pivotButton="0" quotePrefix="0" xfId="0"/>
    <xf numFmtId="0" fontId="2" fillId="0" borderId="0" pivotButton="0" quotePrefix="0" xfId="0"/>
    <xf numFmtId="2" fontId="0" fillId="0" borderId="1" pivotButton="0" quotePrefix="0" xfId="0"/>
    <xf numFmtId="0" fontId="0" fillId="4" borderId="1" pivotButton="0" quotePrefix="0" xfId="0"/>
    <xf numFmtId="166" fontId="0" fillId="4" borderId="1" pivotButton="0" quotePrefix="0" xfId="0"/>
    <xf numFmtId="0" fontId="3" fillId="3" borderId="1" applyAlignment="1" pivotButton="0" quotePrefix="0" xfId="0">
      <alignment horizontal="left" vertical="center" wrapText="1"/>
    </xf>
    <xf numFmtId="164" fontId="0" fillId="2" borderId="1" applyAlignment="1" pivotButton="0" quotePrefix="0" xfId="0">
      <alignment horizontal="center" vertical="center" wrapText="1"/>
    </xf>
    <xf numFmtId="165" fontId="0" fillId="2" borderId="1" applyAlignment="1" pivotButton="0" quotePrefix="0" xfId="0">
      <alignment horizontal="center" vertical="center" wrapText="1"/>
    </xf>
    <xf numFmtId="164" fontId="0" fillId="0" borderId="1" applyAlignment="1" pivotButton="0" quotePrefix="0" xfId="0">
      <alignment horizontal="center" vertical="center" wrapText="1"/>
    </xf>
    <xf numFmtId="165" fontId="0" fillId="0" borderId="1" applyAlignment="1" pivotButton="0" quotePrefix="0" xfId="0">
      <alignment horizontal="center" vertical="center" wrapText="1"/>
    </xf>
    <xf numFmtId="164" fontId="0" fillId="4" borderId="1" applyAlignment="1" pivotButton="0" quotePrefix="0" xfId="0">
      <alignment horizontal="center" vertical="center" wrapText="1"/>
    </xf>
    <xf numFmtId="165" fontId="0" fillId="4" borderId="1" applyAlignment="1" pivotButton="0" quotePrefix="0" xfId="0">
      <alignment horizontal="center" vertical="center" wrapText="1"/>
    </xf>
  </cellXfs>
  <cellStyles count="1">
    <cellStyle name="Normal" xfId="0" builtinId="0" hidden="0"/>
  </cellStyles>
  <dxfs count="3">
    <dxf>
      <font>
        <b val="1"/>
        <color rgb="0016A34A"/>
      </font>
      <fill>
        <patternFill patternType="solid">
          <fgColor rgb="00DCFCE7"/>
        </patternFill>
      </fill>
    </dxf>
    <dxf>
      <fill>
        <patternFill patternType="solid">
          <fgColor rgb="00FEF3C7"/>
        </patternFill>
      </fill>
    </dxf>
    <dxf>
      <font>
        <b val="1"/>
        <color rgb="00DC2626"/>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LSL Balance (Weeks) by Employee</a:t>
            </a:r>
          </a:p>
        </rich>
      </tx>
    </title>
    <plotArea>
      <barChart>
        <barDir val="col"/>
        <grouping val="clustered"/>
        <ser>
          <idx val="0"/>
          <order val="0"/>
          <tx>
            <strRef>
              <f>'Summary'!B14</f>
            </strRef>
          </tx>
          <spPr>
            <a:solidFill xmlns:a="http://schemas.openxmlformats.org/drawingml/2006/main">
              <a:srgbClr val="006A4E"/>
            </a:solidFill>
            <a:ln xmlns:a="http://schemas.openxmlformats.org/drawingml/2006/main">
              <a:prstDash val="solid"/>
            </a:ln>
          </spPr>
          <cat>
            <numRef>
              <f>'Summary'!$A$15:$A$23</f>
            </numRef>
          </cat>
          <val>
            <numRef>
              <f>'Summary'!$B$15:$B$23</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Weeks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Employees by Service Status</a:t>
            </a:r>
          </a:p>
        </rich>
      </tx>
    </title>
    <plotArea>
      <doughnutChart>
        <varyColors val="1"/>
        <ser>
          <idx val="0"/>
          <order val="0"/>
          <tx>
            <strRef>
              <f>'Summary'!E4</f>
            </strRef>
          </tx>
          <spPr>
            <a:ln xmlns:a="http://schemas.openxmlformats.org/drawingml/2006/main">
              <a:prstDash val="solid"/>
            </a:ln>
          </spPr>
          <cat>
            <numRef>
              <f>'Summary'!$D$5:$D$7</f>
            </numRef>
          </cat>
          <val>
            <numRef>
              <f>'Summary'!$E$5:$E$7</f>
            </numRef>
          </val>
        </ser>
        <firstSliceAng val="0"/>
        <holeSize val="10"/>
      </doughnut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Estimated LSL Liability by Location (AUD)</a:t>
            </a:r>
          </a:p>
        </rich>
      </tx>
    </title>
    <plotArea>
      <barChart>
        <barDir val="bar"/>
        <grouping val="clustered"/>
        <ser>
          <idx val="0"/>
          <order val="0"/>
          <tx>
            <strRef>
              <f>'Summary'!D14</f>
            </strRef>
          </tx>
          <spPr>
            <a:solidFill xmlns:a="http://schemas.openxmlformats.org/drawingml/2006/main">
              <a:srgbClr val="1E293B"/>
            </a:solidFill>
            <a:ln xmlns:a="http://schemas.openxmlformats.org/drawingml/2006/main">
              <a:prstDash val="solid"/>
            </a:ln>
          </spPr>
          <cat>
            <numRef>
              <f>'Summary'!$C$15:$C$23</f>
            </numRef>
          </cat>
          <val>
            <numRef>
              <f>'Summary'!$D$15:$D$23</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25</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9</col>
      <colOff>0</colOff>
      <row>25</row>
      <rowOff>0</rowOff>
    </from>
    <ext cx="36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43</row>
      <rowOff>0</rowOff>
    </from>
    <ext cx="576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42" customWidth="1" min="1" max="1"/>
    <col width="24" customWidth="1" min="2" max="2"/>
    <col width="22" customWidth="1" min="3" max="3"/>
    <col width="38" customWidth="1" min="4" max="4"/>
  </cols>
  <sheetData>
    <row r="1">
      <c r="A1" s="1" t="inlineStr">
        <is>
          <t>Long Service Leave — Settings &amp; Location Rules</t>
        </is>
      </c>
    </row>
    <row r="2">
      <c r="A2" t="inlineStr">
        <is>
          <t>Edit the yellow cells to match the applicable state/territory legislation, award or enterprise agreement.</t>
        </is>
      </c>
    </row>
    <row r="3">
      <c r="A3" s="2" t="inlineStr">
        <is>
          <t>Standard LSL Entitlement (weeks at 10 years)</t>
        </is>
      </c>
      <c r="B3" s="3" t="n">
        <v>8.67</v>
      </c>
    </row>
    <row r="4">
      <c r="A4" s="2" t="inlineStr">
        <is>
          <t>Pro-rata Eligibility Threshold (years)</t>
        </is>
      </c>
      <c r="B4" s="3" t="n">
        <v>7</v>
      </c>
    </row>
    <row r="5">
      <c r="A5" s="2" t="inlineStr">
        <is>
          <t>Full Entitlement Threshold (years)</t>
        </is>
      </c>
      <c r="B5" s="3" t="n">
        <v>10</v>
      </c>
    </row>
    <row r="6">
      <c r="A6" s="2" t="inlineStr">
        <is>
          <t>Weeks per Service Year</t>
        </is>
      </c>
      <c r="B6" s="3" t="n">
        <v>52</v>
      </c>
    </row>
    <row r="7"/>
    <row r="8"/>
    <row r="9">
      <c r="A9" s="4" t="inlineStr">
        <is>
          <t>Location Rules (used by VLOOKUP)</t>
        </is>
      </c>
      <c r="B9" s="5" t="n"/>
      <c r="C9" s="5" t="n"/>
      <c r="D9" s="5" t="n"/>
    </row>
    <row r="10">
      <c r="A10" s="6" t="inlineStr">
        <is>
          <t>Location</t>
        </is>
      </c>
      <c r="B10" s="6" t="inlineStr">
        <is>
          <t>Entitlement (wks @ 10 yrs)</t>
        </is>
      </c>
      <c r="C10" s="6" t="inlineStr">
        <is>
          <t>Pro-rata Threshold (yrs)</t>
        </is>
      </c>
      <c r="D10" s="6" t="inlineStr">
        <is>
          <t>Notes</t>
        </is>
      </c>
    </row>
    <row r="11">
      <c r="A11" s="7" t="inlineStr">
        <is>
          <t>Sydney (NSW)</t>
        </is>
      </c>
      <c r="B11" s="8" t="n">
        <v>8.67</v>
      </c>
      <c r="C11" s="8" t="n">
        <v>5</v>
      </c>
      <c r="D11" s="7" t="inlineStr">
        <is>
          <t>NSW Long Service Leave Act 1955</t>
        </is>
      </c>
    </row>
    <row r="12">
      <c r="A12" s="9" t="inlineStr">
        <is>
          <t>Melbourne (VIC)</t>
        </is>
      </c>
      <c r="B12" s="10" t="n">
        <v>8.67</v>
      </c>
      <c r="C12" s="10" t="n">
        <v>7</v>
      </c>
      <c r="D12" s="9" t="inlineStr">
        <is>
          <t>VIC Long Service Leave Act 2018</t>
        </is>
      </c>
    </row>
    <row r="13">
      <c r="A13" s="7" t="inlineStr">
        <is>
          <t>Brisbane (QLD)</t>
        </is>
      </c>
      <c r="B13" s="8" t="n">
        <v>8.67</v>
      </c>
      <c r="C13" s="8" t="n">
        <v>7</v>
      </c>
      <c r="D13" s="7" t="inlineStr">
        <is>
          <t>QLD Industrial Relations Act 2016</t>
        </is>
      </c>
    </row>
    <row r="14">
      <c r="A14" s="9" t="inlineStr">
        <is>
          <t>Perth (WA)</t>
        </is>
      </c>
      <c r="B14" s="10" t="n">
        <v>8.67</v>
      </c>
      <c r="C14" s="10" t="n">
        <v>7</v>
      </c>
      <c r="D14" s="9" t="inlineStr">
        <is>
          <t>WA Long Service Leave Act 1958</t>
        </is>
      </c>
    </row>
    <row r="15">
      <c r="A15" s="7" t="inlineStr">
        <is>
          <t>Adelaide (SA)</t>
        </is>
      </c>
      <c r="B15" s="8" t="n">
        <v>13</v>
      </c>
      <c r="C15" s="8" t="n">
        <v>7</v>
      </c>
      <c r="D15" s="7" t="inlineStr">
        <is>
          <t>SA Long Service Leave Act 1987</t>
        </is>
      </c>
    </row>
    <row r="16">
      <c r="A16" s="9" t="inlineStr">
        <is>
          <t>Gold Coast (QLD)</t>
        </is>
      </c>
      <c r="B16" s="10" t="n">
        <v>8.67</v>
      </c>
      <c r="C16" s="10" t="n">
        <v>7</v>
      </c>
      <c r="D16" s="9" t="inlineStr">
        <is>
          <t>QLD Industrial Relations Act 2016</t>
        </is>
      </c>
    </row>
    <row r="17">
      <c r="A17" s="7" t="inlineStr">
        <is>
          <t>Newcastle (NSW)</t>
        </is>
      </c>
      <c r="B17" s="8" t="n">
        <v>8.67</v>
      </c>
      <c r="C17" s="8" t="n">
        <v>5</v>
      </c>
      <c r="D17" s="7" t="inlineStr">
        <is>
          <t>NSW Long Service Leave Act 1955</t>
        </is>
      </c>
    </row>
    <row r="18">
      <c r="A18" s="9" t="inlineStr">
        <is>
          <t>Canberra (ACT)</t>
        </is>
      </c>
      <c r="B18" s="10" t="n">
        <v>8.67</v>
      </c>
      <c r="C18" s="10" t="n">
        <v>7</v>
      </c>
      <c r="D18" s="9" t="inlineStr">
        <is>
          <t>ACT Long Service Leave Act 1976</t>
        </is>
      </c>
    </row>
    <row r="19">
      <c r="A19" s="7" t="inlineStr">
        <is>
          <t>Hobart (TAS)</t>
        </is>
      </c>
      <c r="B19" s="8" t="n">
        <v>8.67</v>
      </c>
      <c r="C19" s="8" t="n">
        <v>7</v>
      </c>
      <c r="D19" s="7" t="inlineStr">
        <is>
          <t>TAS Long Service Leave Act 1976</t>
        </is>
      </c>
    </row>
  </sheetData>
  <mergeCells count="2">
    <mergeCell ref="A1:D1"/>
    <mergeCell ref="A2:D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2"/>
  <sheetViews>
    <sheetView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18" customWidth="1" min="2" max="2"/>
    <col width="20" customWidth="1" min="3" max="3"/>
    <col width="16" customWidth="1" min="4" max="4"/>
    <col width="14" customWidth="1" min="5" max="5"/>
    <col width="14" customWidth="1" min="6" max="6"/>
    <col width="13" customWidth="1" min="7" max="7"/>
    <col width="14" customWidth="1" min="8" max="8"/>
    <col width="12" customWidth="1" min="9" max="9"/>
    <col width="15" customWidth="1" min="10" max="10"/>
    <col width="13" customWidth="1" min="11" max="11"/>
    <col width="12" customWidth="1" min="12" max="12"/>
    <col width="13" customWidth="1" min="13" max="13"/>
    <col width="16" customWidth="1" min="14" max="14"/>
    <col width="13" customWidth="1" min="15" max="15"/>
    <col width="11" customWidth="1" min="16" max="16"/>
    <col width="12" customWidth="1" min="17" max="17"/>
    <col width="16" customWidth="1" min="18" max="18"/>
    <col width="14" customWidth="1" min="19" max="19"/>
    <col width="40" customWidth="1" min="20" max="20"/>
  </cols>
  <sheetData>
    <row r="1">
      <c r="A1" s="1" t="inlineStr">
        <is>
          <t>Long Service Leave Tracker — Australia (As at 2026)</t>
        </is>
      </c>
    </row>
    <row r="2"/>
    <row r="3" ht="42" customHeight="1">
      <c r="A3" s="11" t="inlineStr">
        <is>
          <t>Employee ID</t>
        </is>
      </c>
      <c r="B3" s="11" t="inlineStr">
        <is>
          <t>Employee Name</t>
        </is>
      </c>
      <c r="C3" s="11" t="inlineStr">
        <is>
          <t>Job Title</t>
        </is>
      </c>
      <c r="D3" s="11" t="inlineStr">
        <is>
          <t>Location</t>
        </is>
      </c>
      <c r="E3" s="11" t="inlineStr">
        <is>
          <t>Employment Type</t>
        </is>
      </c>
      <c r="F3" s="11" t="inlineStr">
        <is>
          <t>Current Service Start Date</t>
        </is>
      </c>
      <c r="G3" s="11" t="inlineStr">
        <is>
          <t>Recognised Prior Service (Years)</t>
        </is>
      </c>
      <c r="H3" s="11" t="inlineStr">
        <is>
          <t>Service Start Date for LSL</t>
        </is>
      </c>
      <c r="I3" s="11" t="inlineStr">
        <is>
          <t>As-at Date</t>
        </is>
      </c>
      <c r="J3" s="11" t="inlineStr">
        <is>
          <t>Annual Salary (AUD)</t>
        </is>
      </c>
      <c r="K3" s="11" t="inlineStr">
        <is>
          <t>LSL Entitlement at 10 Years (Weeks)</t>
        </is>
      </c>
      <c r="L3" s="11" t="inlineStr">
        <is>
          <t>Pro-rata Eligibility (Years)</t>
        </is>
      </c>
      <c r="M3" s="11" t="inlineStr">
        <is>
          <t>Total Recognised Service (Years)</t>
        </is>
      </c>
      <c r="N3" s="11" t="inlineStr">
        <is>
          <t>Service Status</t>
        </is>
      </c>
      <c r="O3" s="11" t="inlineStr">
        <is>
          <t>Estimated LSL Accrued (Weeks)</t>
        </is>
      </c>
      <c r="P3" s="11" t="inlineStr">
        <is>
          <t>LSL Taken (Weeks)</t>
        </is>
      </c>
      <c r="Q3" s="11" t="inlineStr">
        <is>
          <t>LSL Balance (Weeks)</t>
        </is>
      </c>
      <c r="R3" s="11" t="inlineStr">
        <is>
          <t>Estimated LSL Value (AUD)</t>
        </is>
      </c>
      <c r="S3" s="11" t="inlineStr">
        <is>
          <t>Next Eligibility Date</t>
        </is>
      </c>
      <c r="T3" s="11" t="inlineStr">
        <is>
          <t>Notes</t>
        </is>
      </c>
    </row>
    <row r="4">
      <c r="A4" s="3" t="inlineStr">
        <is>
          <t>EMP001</t>
        </is>
      </c>
      <c r="B4" s="12" t="inlineStr">
        <is>
          <t>Jack Wilson</t>
        </is>
      </c>
      <c r="C4" s="12" t="inlineStr">
        <is>
          <t>Project Coordinator</t>
        </is>
      </c>
      <c r="D4" s="3" t="inlineStr">
        <is>
          <t>Sydney (NSW)</t>
        </is>
      </c>
      <c r="E4" s="3" t="inlineStr">
        <is>
          <t>Full-time</t>
        </is>
      </c>
      <c r="F4" s="35" t="n">
        <v>46027</v>
      </c>
      <c r="G4" s="36" t="n">
        <v>9.5</v>
      </c>
      <c r="H4" s="37">
        <f>F4+(G4*365.25)</f>
        <v/>
      </c>
      <c r="I4" s="35" t="n">
        <v>46265</v>
      </c>
      <c r="J4" s="16" t="n">
        <v>98000</v>
      </c>
      <c r="K4" s="17">
        <f>IFERROR(VLOOKUP(D4,Settings!$A$11:$D$19,2,FALSE),Settings!$B$3)</f>
        <v/>
      </c>
      <c r="L4" s="38">
        <f>IFERROR(VLOOKUP(D4,Settings!$A$11:$D$19,3,FALSE),Settings!$B$4)</f>
        <v/>
      </c>
      <c r="M4" s="17">
        <f>YEARFRAC(H4,I4)</f>
        <v/>
      </c>
      <c r="N4" s="8">
        <f>IF(M4&gt;=Settings!$B$5,"Eligible",IF(M4&gt;=L4,"Pro-rata eligible","Not yet eligible"))</f>
        <v/>
      </c>
      <c r="O4" s="17">
        <f>MIN(M4/Settings!$B$5,1)*K4</f>
        <v/>
      </c>
      <c r="P4" s="19" t="n">
        <v>0</v>
      </c>
      <c r="Q4" s="17">
        <f>MAX(O4-P4,0)</f>
        <v/>
      </c>
      <c r="R4" s="20">
        <f>IFERROR(Q4*J4/Settings!$B$6,0)</f>
        <v/>
      </c>
      <c r="S4" s="37">
        <f>EDATE(H4,Settings!$B$5*12)</f>
        <v/>
      </c>
      <c r="T4" s="12" t="inlineStr">
        <is>
          <t>Long-term employee, approaching full entitlement.</t>
        </is>
      </c>
    </row>
    <row r="5">
      <c r="A5" s="3" t="inlineStr">
        <is>
          <t>EMP002</t>
        </is>
      </c>
      <c r="B5" s="12" t="inlineStr">
        <is>
          <t>Olivia Brown</t>
        </is>
      </c>
      <c r="C5" s="12" t="inlineStr">
        <is>
          <t>Nurse</t>
        </is>
      </c>
      <c r="D5" s="3" t="inlineStr">
        <is>
          <t>Melbourne (VIC)</t>
        </is>
      </c>
      <c r="E5" s="3" t="inlineStr">
        <is>
          <t>Full-time</t>
        </is>
      </c>
      <c r="F5" s="35" t="n">
        <v>46055</v>
      </c>
      <c r="G5" s="36" t="n">
        <v>8.199999999999999</v>
      </c>
      <c r="H5" s="39">
        <f>F5+(G5*365.25)</f>
        <v/>
      </c>
      <c r="I5" s="35" t="n">
        <v>46265</v>
      </c>
      <c r="J5" s="16" t="n">
        <v>92000</v>
      </c>
      <c r="K5" s="22">
        <f>IFERROR(VLOOKUP(D5,Settings!$A$11:$D$19,2,FALSE),Settings!$B$3)</f>
        <v/>
      </c>
      <c r="L5" s="40">
        <f>IFERROR(VLOOKUP(D5,Settings!$A$11:$D$19,3,FALSE),Settings!$B$4)</f>
        <v/>
      </c>
      <c r="M5" s="22">
        <f>YEARFRAC(H5,I5)</f>
        <v/>
      </c>
      <c r="N5" s="10">
        <f>IF(M5&gt;=Settings!$B$5,"Eligible",IF(M5&gt;=L5,"Pro-rata eligible","Not yet eligible"))</f>
        <v/>
      </c>
      <c r="O5" s="22">
        <f>MIN(M5/Settings!$B$5,1)*K5</f>
        <v/>
      </c>
      <c r="P5" s="19" t="n">
        <v>1.5</v>
      </c>
      <c r="Q5" s="22">
        <f>MAX(O5-P5,0)</f>
        <v/>
      </c>
      <c r="R5" s="24">
        <f>IFERROR(Q5*J5/Settings!$B$6,0)</f>
        <v/>
      </c>
      <c r="S5" s="39">
        <f>EDATE(H5,Settings!$B$5*12)</f>
        <v/>
      </c>
      <c r="T5" s="12" t="inlineStr">
        <is>
          <t>Pro-rata eligible; check award conditions.</t>
        </is>
      </c>
    </row>
    <row r="6">
      <c r="A6" s="3" t="inlineStr">
        <is>
          <t>EMP003</t>
        </is>
      </c>
      <c r="B6" s="12" t="inlineStr">
        <is>
          <t>Liam Nguyen</t>
        </is>
      </c>
      <c r="C6" s="12" t="inlineStr">
        <is>
          <t>Warehouse Supervisor</t>
        </is>
      </c>
      <c r="D6" s="3" t="inlineStr">
        <is>
          <t>Brisbane (QLD)</t>
        </is>
      </c>
      <c r="E6" s="3" t="inlineStr">
        <is>
          <t>Full-time</t>
        </is>
      </c>
      <c r="F6" s="35" t="n">
        <v>46041</v>
      </c>
      <c r="G6" s="36" t="n">
        <v>12</v>
      </c>
      <c r="H6" s="37">
        <f>F6+(G6*365.25)</f>
        <v/>
      </c>
      <c r="I6" s="35" t="n">
        <v>46265</v>
      </c>
      <c r="J6" s="16" t="n">
        <v>78000</v>
      </c>
      <c r="K6" s="17">
        <f>IFERROR(VLOOKUP(D6,Settings!$A$11:$D$19,2,FALSE),Settings!$B$3)</f>
        <v/>
      </c>
      <c r="L6" s="38">
        <f>IFERROR(VLOOKUP(D6,Settings!$A$11:$D$19,3,FALSE),Settings!$B$4)</f>
        <v/>
      </c>
      <c r="M6" s="17">
        <f>YEARFRAC(H6,I6)</f>
        <v/>
      </c>
      <c r="N6" s="8">
        <f>IF(M6&gt;=Settings!$B$5,"Eligible",IF(M6&gt;=L6,"Pro-rata eligible","Not yet eligible"))</f>
        <v/>
      </c>
      <c r="O6" s="17">
        <f>MIN(M6/Settings!$B$5,1)*K6</f>
        <v/>
      </c>
      <c r="P6" s="19" t="n">
        <v>2.5</v>
      </c>
      <c r="Q6" s="17">
        <f>MAX(O6-P6,0)</f>
        <v/>
      </c>
      <c r="R6" s="20">
        <f>IFERROR(Q6*J6/Settings!$B$6,0)</f>
        <v/>
      </c>
      <c r="S6" s="37">
        <f>EDATE(H6,Settings!$B$5*12)</f>
        <v/>
      </c>
      <c r="T6" s="12" t="inlineStr">
        <is>
          <t>Fully eligible; planning leave in late 2026.</t>
        </is>
      </c>
    </row>
    <row r="7">
      <c r="A7" s="3" t="inlineStr">
        <is>
          <t>EMP004</t>
        </is>
      </c>
      <c r="B7" s="12" t="inlineStr">
        <is>
          <t>Charlotte Taylor</t>
        </is>
      </c>
      <c r="C7" s="12" t="inlineStr">
        <is>
          <t>Accountant</t>
        </is>
      </c>
      <c r="D7" s="3" t="inlineStr">
        <is>
          <t>Perth (WA)</t>
        </is>
      </c>
      <c r="E7" s="3" t="inlineStr">
        <is>
          <t>Full-time</t>
        </is>
      </c>
      <c r="F7" s="35" t="n">
        <v>46090</v>
      </c>
      <c r="G7" s="36" t="n">
        <v>6.4</v>
      </c>
      <c r="H7" s="39">
        <f>F7+(G7*365.25)</f>
        <v/>
      </c>
      <c r="I7" s="35" t="n">
        <v>46265</v>
      </c>
      <c r="J7" s="16" t="n">
        <v>88000</v>
      </c>
      <c r="K7" s="22">
        <f>IFERROR(VLOOKUP(D7,Settings!$A$11:$D$19,2,FALSE),Settings!$B$3)</f>
        <v/>
      </c>
      <c r="L7" s="40">
        <f>IFERROR(VLOOKUP(D7,Settings!$A$11:$D$19,3,FALSE),Settings!$B$4)</f>
        <v/>
      </c>
      <c r="M7" s="22">
        <f>YEARFRAC(H7,I7)</f>
        <v/>
      </c>
      <c r="N7" s="10">
        <f>IF(M7&gt;=Settings!$B$5,"Eligible",IF(M7&gt;=L7,"Pro-rata eligible","Not yet eligible"))</f>
        <v/>
      </c>
      <c r="O7" s="22">
        <f>MIN(M7/Settings!$B$5,1)*K7</f>
        <v/>
      </c>
      <c r="P7" s="19" t="n">
        <v>0</v>
      </c>
      <c r="Q7" s="22">
        <f>MAX(O7-P7,0)</f>
        <v/>
      </c>
      <c r="R7" s="24">
        <f>IFERROR(Q7*J7/Settings!$B$6,0)</f>
        <v/>
      </c>
      <c r="S7" s="39">
        <f>EDATE(H7,Settings!$B$5*12)</f>
        <v/>
      </c>
      <c r="T7" s="12" t="inlineStr">
        <is>
          <t>Nearing pro-rata threshold.</t>
        </is>
      </c>
    </row>
    <row r="8">
      <c r="A8" s="3" t="inlineStr">
        <is>
          <t>EMP005</t>
        </is>
      </c>
      <c r="B8" s="12" t="inlineStr">
        <is>
          <t>Noah Williams</t>
        </is>
      </c>
      <c r="C8" s="12" t="inlineStr">
        <is>
          <t>HR Adviser</t>
        </is>
      </c>
      <c r="D8" s="3" t="inlineStr">
        <is>
          <t>Adelaide (SA)</t>
        </is>
      </c>
      <c r="E8" s="3" t="inlineStr">
        <is>
          <t>Full-time</t>
        </is>
      </c>
      <c r="F8" s="35" t="n">
        <v>46069</v>
      </c>
      <c r="G8" s="36" t="n">
        <v>7.8</v>
      </c>
      <c r="H8" s="37">
        <f>F8+(G8*365.25)</f>
        <v/>
      </c>
      <c r="I8" s="35" t="n">
        <v>46265</v>
      </c>
      <c r="J8" s="16" t="n">
        <v>84000</v>
      </c>
      <c r="K8" s="17">
        <f>IFERROR(VLOOKUP(D8,Settings!$A$11:$D$19,2,FALSE),Settings!$B$3)</f>
        <v/>
      </c>
      <c r="L8" s="38">
        <f>IFERROR(VLOOKUP(D8,Settings!$A$11:$D$19,3,FALSE),Settings!$B$4)</f>
        <v/>
      </c>
      <c r="M8" s="17">
        <f>YEARFRAC(H8,I8)</f>
        <v/>
      </c>
      <c r="N8" s="8">
        <f>IF(M8&gt;=Settings!$B$5,"Eligible",IF(M8&gt;=L8,"Pro-rata eligible","Not yet eligible"))</f>
        <v/>
      </c>
      <c r="O8" s="17">
        <f>MIN(M8/Settings!$B$5,1)*K8</f>
        <v/>
      </c>
      <c r="P8" s="19" t="n">
        <v>0.75</v>
      </c>
      <c r="Q8" s="17">
        <f>MAX(O8-P8,0)</f>
        <v/>
      </c>
      <c r="R8" s="20">
        <f>IFERROR(Q8*J8/Settings!$B$6,0)</f>
        <v/>
      </c>
      <c r="S8" s="37">
        <f>EDATE(H8,Settings!$B$5*12)</f>
        <v/>
      </c>
      <c r="T8" s="12" t="inlineStr">
        <is>
          <t>SA entitlement is 13 weeks after 10 years.</t>
        </is>
      </c>
    </row>
    <row r="9">
      <c r="A9" s="3" t="inlineStr">
        <is>
          <t>EMP006</t>
        </is>
      </c>
      <c r="B9" s="12" t="inlineStr">
        <is>
          <t>Mia Anderson</t>
        </is>
      </c>
      <c r="C9" s="12" t="inlineStr">
        <is>
          <t>Software Developer</t>
        </is>
      </c>
      <c r="D9" s="3" t="inlineStr">
        <is>
          <t>Gold Coast (QLD)</t>
        </is>
      </c>
      <c r="E9" s="3" t="inlineStr">
        <is>
          <t>Full-time</t>
        </is>
      </c>
      <c r="F9" s="35" t="n">
        <v>46118</v>
      </c>
      <c r="G9" s="36" t="n">
        <v>4.2</v>
      </c>
      <c r="H9" s="39">
        <f>F9+(G9*365.25)</f>
        <v/>
      </c>
      <c r="I9" s="35" t="n">
        <v>46265</v>
      </c>
      <c r="J9" s="16" t="n">
        <v>112000</v>
      </c>
      <c r="K9" s="22">
        <f>IFERROR(VLOOKUP(D9,Settings!$A$11:$D$19,2,FALSE),Settings!$B$3)</f>
        <v/>
      </c>
      <c r="L9" s="40">
        <f>IFERROR(VLOOKUP(D9,Settings!$A$11:$D$19,3,FALSE),Settings!$B$4)</f>
        <v/>
      </c>
      <c r="M9" s="22">
        <f>YEARFRAC(H9,I9)</f>
        <v/>
      </c>
      <c r="N9" s="10">
        <f>IF(M9&gt;=Settings!$B$5,"Eligible",IF(M9&gt;=L9,"Pro-rata eligible","Not yet eligible"))</f>
        <v/>
      </c>
      <c r="O9" s="22">
        <f>MIN(M9/Settings!$B$5,1)*K9</f>
        <v/>
      </c>
      <c r="P9" s="19" t="n">
        <v>0</v>
      </c>
      <c r="Q9" s="22">
        <f>MAX(O9-P9,0)</f>
        <v/>
      </c>
      <c r="R9" s="24">
        <f>IFERROR(Q9*J9/Settings!$B$6,0)</f>
        <v/>
      </c>
      <c r="S9" s="39">
        <f>EDATE(H9,Settings!$B$5*12)</f>
        <v/>
      </c>
      <c r="T9" s="12" t="inlineStr">
        <is>
          <t>Mid-tenure; review annually.</t>
        </is>
      </c>
    </row>
    <row r="10">
      <c r="A10" s="3" t="inlineStr">
        <is>
          <t>EMP007</t>
        </is>
      </c>
      <c r="B10" s="12" t="inlineStr">
        <is>
          <t>Ethan Martin</t>
        </is>
      </c>
      <c r="C10" s="12" t="inlineStr">
        <is>
          <t>Site Foreman</t>
        </is>
      </c>
      <c r="D10" s="3" t="inlineStr">
        <is>
          <t>Newcastle (NSW)</t>
        </is>
      </c>
      <c r="E10" s="3" t="inlineStr">
        <is>
          <t>Full-time</t>
        </is>
      </c>
      <c r="F10" s="35" t="n">
        <v>46048</v>
      </c>
      <c r="G10" s="36" t="n">
        <v>10.6</v>
      </c>
      <c r="H10" s="37">
        <f>F10+(G10*365.25)</f>
        <v/>
      </c>
      <c r="I10" s="35" t="n">
        <v>46265</v>
      </c>
      <c r="J10" s="16" t="n">
        <v>95000</v>
      </c>
      <c r="K10" s="17">
        <f>IFERROR(VLOOKUP(D10,Settings!$A$11:$D$19,2,FALSE),Settings!$B$3)</f>
        <v/>
      </c>
      <c r="L10" s="38">
        <f>IFERROR(VLOOKUP(D10,Settings!$A$11:$D$19,3,FALSE),Settings!$B$4)</f>
        <v/>
      </c>
      <c r="M10" s="17">
        <f>YEARFRAC(H10,I10)</f>
        <v/>
      </c>
      <c r="N10" s="8">
        <f>IF(M10&gt;=Settings!$B$5,"Eligible",IF(M10&gt;=L10,"Pro-rata eligible","Not yet eligible"))</f>
        <v/>
      </c>
      <c r="O10" s="17">
        <f>MIN(M10/Settings!$B$5,1)*K10</f>
        <v/>
      </c>
      <c r="P10" s="19" t="n">
        <v>1</v>
      </c>
      <c r="Q10" s="17">
        <f>MAX(O10-P10,0)</f>
        <v/>
      </c>
      <c r="R10" s="20">
        <f>IFERROR(Q10*J10/Settings!$B$6,0)</f>
        <v/>
      </c>
      <c r="S10" s="37">
        <f>EDATE(H10,Settings!$B$5*12)</f>
        <v/>
      </c>
      <c r="T10" s="12" t="inlineStr">
        <is>
          <t>Fully eligible under NSW rules.</t>
        </is>
      </c>
    </row>
    <row r="11">
      <c r="A11" s="3" t="inlineStr">
        <is>
          <t>EMP008</t>
        </is>
      </c>
      <c r="B11" s="12" t="inlineStr">
        <is>
          <t>Ruby Thompson</t>
        </is>
      </c>
      <c r="C11" s="12" t="inlineStr">
        <is>
          <t>Marketing Manager</t>
        </is>
      </c>
      <c r="D11" s="3" t="inlineStr">
        <is>
          <t>Canberra (ACT)</t>
        </is>
      </c>
      <c r="E11" s="3" t="inlineStr">
        <is>
          <t>Part-time</t>
        </is>
      </c>
      <c r="F11" s="35" t="n">
        <v>46146</v>
      </c>
      <c r="G11" s="36" t="n">
        <v>3.5</v>
      </c>
      <c r="H11" s="39">
        <f>F11+(G11*365.25)</f>
        <v/>
      </c>
      <c r="I11" s="35" t="n">
        <v>46265</v>
      </c>
      <c r="J11" s="16" t="n">
        <v>68000</v>
      </c>
      <c r="K11" s="22">
        <f>IFERROR(VLOOKUP(D11,Settings!$A$11:$D$19,2,FALSE),Settings!$B$3)</f>
        <v/>
      </c>
      <c r="L11" s="40">
        <f>IFERROR(VLOOKUP(D11,Settings!$A$11:$D$19,3,FALSE),Settings!$B$4)</f>
        <v/>
      </c>
      <c r="M11" s="22">
        <f>YEARFRAC(H11,I11)</f>
        <v/>
      </c>
      <c r="N11" s="10">
        <f>IF(M11&gt;=Settings!$B$5,"Eligible",IF(M11&gt;=L11,"Pro-rata eligible","Not yet eligible"))</f>
        <v/>
      </c>
      <c r="O11" s="22">
        <f>MIN(M11/Settings!$B$5,1)*K11</f>
        <v/>
      </c>
      <c r="P11" s="19" t="n">
        <v>0</v>
      </c>
      <c r="Q11" s="22">
        <f>MAX(O11-P11,0)</f>
        <v/>
      </c>
      <c r="R11" s="24">
        <f>IFERROR(Q11*J11/Settings!$B$6,0)</f>
        <v/>
      </c>
      <c r="S11" s="39">
        <f>EDATE(H11,Settings!$B$5*12)</f>
        <v/>
      </c>
      <c r="T11" s="12" t="inlineStr">
        <is>
          <t>Part-time; value prorated by salary.</t>
        </is>
      </c>
    </row>
    <row r="12">
      <c r="A12" s="3" t="inlineStr">
        <is>
          <t>EMP009</t>
        </is>
      </c>
      <c r="B12" s="12" t="inlineStr">
        <is>
          <t>Cooper Evans</t>
        </is>
      </c>
      <c r="C12" s="12" t="inlineStr">
        <is>
          <t>Civil Engineer</t>
        </is>
      </c>
      <c r="D12" s="3" t="inlineStr">
        <is>
          <t>Hobart (TAS)</t>
        </is>
      </c>
      <c r="E12" s="3" t="inlineStr">
        <is>
          <t>Full-time</t>
        </is>
      </c>
      <c r="F12" s="35" t="n">
        <v>46188</v>
      </c>
      <c r="G12" s="36" t="n">
        <v>11.3</v>
      </c>
      <c r="H12" s="37">
        <f>F12+(G12*365.25)</f>
        <v/>
      </c>
      <c r="I12" s="35" t="n">
        <v>46265</v>
      </c>
      <c r="J12" s="16" t="n">
        <v>128000</v>
      </c>
      <c r="K12" s="17">
        <f>IFERROR(VLOOKUP(D12,Settings!$A$11:$D$19,2,FALSE),Settings!$B$3)</f>
        <v/>
      </c>
      <c r="L12" s="38">
        <f>IFERROR(VLOOKUP(D12,Settings!$A$11:$D$19,3,FALSE),Settings!$B$4)</f>
        <v/>
      </c>
      <c r="M12" s="17">
        <f>YEARFRAC(H12,I12)</f>
        <v/>
      </c>
      <c r="N12" s="8">
        <f>IF(M12&gt;=Settings!$B$5,"Eligible",IF(M12&gt;=L12,"Pro-rata eligible","Not yet eligible"))</f>
        <v/>
      </c>
      <c r="O12" s="17">
        <f>MIN(M12/Settings!$B$5,1)*K12</f>
        <v/>
      </c>
      <c r="P12" s="19" t="n">
        <v>2</v>
      </c>
      <c r="Q12" s="17">
        <f>MAX(O12-P12,0)</f>
        <v/>
      </c>
      <c r="R12" s="20">
        <f>IFERROR(Q12*J12/Settings!$B$6,0)</f>
        <v/>
      </c>
      <c r="S12" s="37">
        <f>EDATE(H12,Settings!$B$5*12)</f>
        <v/>
      </c>
      <c r="T12" s="12" t="inlineStr">
        <is>
          <t>Highest salary; review liability quarterly.</t>
        </is>
      </c>
    </row>
  </sheetData>
  <mergeCells count="1">
    <mergeCell ref="A1:T1"/>
  </mergeCells>
  <conditionalFormatting sqref="N4:N12">
    <cfRule type="expression" priority="1" dxfId="0" stopIfTrue="1">
      <formula>$N4="Eligible"</formula>
    </cfRule>
    <cfRule type="expression" priority="2" dxfId="1" stopIfTrue="1">
      <formula>$N4="Pro-rata eligible"</formula>
    </cfRule>
    <cfRule type="expression" priority="3" dxfId="2" stopIfTrue="1">
      <formula>$N4="Not yet eligible"</formula>
    </cfRule>
  </conditionalFormatting>
  <conditionalFormatting sqref="Q4:Q12">
    <cfRule type="expression" priority="4" dxfId="2" stopIfTrue="1">
      <formula>OR($Q4&lt;0,ISBLANK($J4),ISBLANK($F4))</formula>
    </cfRule>
  </conditionalFormatting>
  <dataValidations count="1">
    <dataValidation sqref="E4:E12" showErrorMessage="1" showInputMessage="1" allowBlank="1" type="list">
      <formula1>"Full-time,Part-time,Casual,Fixed-term"</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34" customWidth="1" min="1" max="1"/>
    <col width="22" customWidth="1" min="2" max="2"/>
    <col width="16" customWidth="1" min="3" max="3"/>
    <col width="20" customWidth="1" min="4" max="4"/>
    <col width="12" customWidth="1" min="5" max="5"/>
  </cols>
  <sheetData>
    <row r="1">
      <c r="A1" s="1" t="inlineStr">
        <is>
          <t>LSL Summary Dashboard</t>
        </is>
      </c>
    </row>
    <row r="2">
      <c r="A2" t="inlineStr">
        <is>
          <t>Settings are maintained on the Settings sheet (yellow cells). Metrics below update automatically.</t>
        </is>
      </c>
    </row>
    <row r="3"/>
    <row r="4">
      <c r="A4" s="11" t="inlineStr">
        <is>
          <t>Metric</t>
        </is>
      </c>
      <c r="B4" s="11" t="inlineStr">
        <is>
          <t>Value</t>
        </is>
      </c>
      <c r="D4" s="11" t="inlineStr">
        <is>
          <t>Service Status</t>
        </is>
      </c>
      <c r="E4" s="11" t="inlineStr">
        <is>
          <t>Count</t>
        </is>
      </c>
    </row>
    <row r="5">
      <c r="A5" s="2" t="inlineStr">
        <is>
          <t>Total Employees</t>
        </is>
      </c>
      <c r="B5" s="25">
        <f>COUNTA('Employee Tracker'!B4:B12)</f>
        <v/>
      </c>
      <c r="D5" s="26" t="inlineStr">
        <is>
          <t>Eligible</t>
        </is>
      </c>
      <c r="E5" s="8">
        <f>COUNTIF('Employee Tracker'!$N$4:$N$12,"Eligible")</f>
        <v/>
      </c>
    </row>
    <row r="6">
      <c r="A6" s="27" t="inlineStr">
        <is>
          <t>Average Recognised Service (Years)</t>
        </is>
      </c>
      <c r="B6" s="28">
        <f>IFERROR(AVERAGE('Employee Tracker'!M4:M12),0)</f>
        <v/>
      </c>
      <c r="D6" s="26" t="inlineStr">
        <is>
          <t>Pro-rata eligible</t>
        </is>
      </c>
      <c r="E6" s="8">
        <f>COUNTIF('Employee Tracker'!$N$4:$N$12,"Pro-rata eligible")</f>
        <v/>
      </c>
    </row>
    <row r="7">
      <c r="A7" s="2" t="inlineStr">
        <is>
          <t>Employees Eligible or Pro-rata</t>
        </is>
      </c>
      <c r="B7" s="25">
        <f>COUNTIF('Employee Tracker'!N4:N12,"*eligible*")</f>
        <v/>
      </c>
      <c r="D7" s="26" t="inlineStr">
        <is>
          <t>Not yet eligible</t>
        </is>
      </c>
      <c r="E7" s="8">
        <f>COUNTIF('Employee Tracker'!$N$4:$N$12,"Not yet eligible")</f>
        <v/>
      </c>
    </row>
    <row r="8">
      <c r="A8" s="27" t="inlineStr">
        <is>
          <t>Total LSL Balance (Weeks)</t>
        </is>
      </c>
      <c r="B8" s="28">
        <f>SUM('Employee Tracker'!Q4:Q12)</f>
        <v/>
      </c>
    </row>
    <row r="9">
      <c r="A9" s="2" t="inlineStr">
        <is>
          <t>Total Estimated LSL Liability (AUD)</t>
        </is>
      </c>
      <c r="B9" s="29">
        <f>SUM('Employee Tracker'!R4:R12)</f>
        <v/>
      </c>
    </row>
    <row r="10">
      <c r="A10" s="27" t="inlineStr">
        <is>
          <t>Average LSL Balance (Weeks)</t>
        </is>
      </c>
      <c r="B10" s="28">
        <f>IFERROR(AVERAGE('Employee Tracker'!Q4:Q12),0)</f>
        <v/>
      </c>
    </row>
    <row r="11"/>
    <row r="12"/>
    <row r="13">
      <c r="A13" s="30" t="inlineStr">
        <is>
          <t>Chart Data — LSL Balance &amp; Liability</t>
        </is>
      </c>
    </row>
    <row r="14">
      <c r="A14" s="6" t="inlineStr">
        <is>
          <t>Employee</t>
        </is>
      </c>
      <c r="B14" s="6" t="inlineStr">
        <is>
          <t>LSL Balance (Weeks)</t>
        </is>
      </c>
      <c r="C14" s="6" t="inlineStr">
        <is>
          <t>Location</t>
        </is>
      </c>
      <c r="D14" s="6" t="inlineStr">
        <is>
          <t>Estimated Liability (AUD)</t>
        </is>
      </c>
    </row>
    <row r="15">
      <c r="A15" s="26">
        <f>'Employee Tracker'!B4</f>
        <v/>
      </c>
      <c r="B15" s="31">
        <f>'Employee Tracker'!Q4</f>
        <v/>
      </c>
      <c r="C15" s="26">
        <f>'Employee Tracker'!D4</f>
        <v/>
      </c>
      <c r="D15" s="29">
        <f>'Employee Tracker'!R4</f>
        <v/>
      </c>
    </row>
    <row r="16">
      <c r="A16" s="32">
        <f>'Employee Tracker'!B5</f>
        <v/>
      </c>
      <c r="B16" s="28">
        <f>'Employee Tracker'!Q5</f>
        <v/>
      </c>
      <c r="C16" s="32">
        <f>'Employee Tracker'!D5</f>
        <v/>
      </c>
      <c r="D16" s="33">
        <f>'Employee Tracker'!R5</f>
        <v/>
      </c>
    </row>
    <row r="17">
      <c r="A17" s="26">
        <f>'Employee Tracker'!B6</f>
        <v/>
      </c>
      <c r="B17" s="31">
        <f>'Employee Tracker'!Q6</f>
        <v/>
      </c>
      <c r="C17" s="26">
        <f>'Employee Tracker'!D6</f>
        <v/>
      </c>
      <c r="D17" s="29">
        <f>'Employee Tracker'!R6</f>
        <v/>
      </c>
    </row>
    <row r="18">
      <c r="A18" s="32">
        <f>'Employee Tracker'!B7</f>
        <v/>
      </c>
      <c r="B18" s="28">
        <f>'Employee Tracker'!Q7</f>
        <v/>
      </c>
      <c r="C18" s="32">
        <f>'Employee Tracker'!D7</f>
        <v/>
      </c>
      <c r="D18" s="33">
        <f>'Employee Tracker'!R7</f>
        <v/>
      </c>
    </row>
    <row r="19">
      <c r="A19" s="26">
        <f>'Employee Tracker'!B8</f>
        <v/>
      </c>
      <c r="B19" s="31">
        <f>'Employee Tracker'!Q8</f>
        <v/>
      </c>
      <c r="C19" s="26">
        <f>'Employee Tracker'!D8</f>
        <v/>
      </c>
      <c r="D19" s="29">
        <f>'Employee Tracker'!R8</f>
        <v/>
      </c>
    </row>
    <row r="20">
      <c r="A20" s="32">
        <f>'Employee Tracker'!B9</f>
        <v/>
      </c>
      <c r="B20" s="28">
        <f>'Employee Tracker'!Q9</f>
        <v/>
      </c>
      <c r="C20" s="32">
        <f>'Employee Tracker'!D9</f>
        <v/>
      </c>
      <c r="D20" s="33">
        <f>'Employee Tracker'!R9</f>
        <v/>
      </c>
    </row>
    <row r="21">
      <c r="A21" s="26">
        <f>'Employee Tracker'!B10</f>
        <v/>
      </c>
      <c r="B21" s="31">
        <f>'Employee Tracker'!Q10</f>
        <v/>
      </c>
      <c r="C21" s="26">
        <f>'Employee Tracker'!D10</f>
        <v/>
      </c>
      <c r="D21" s="29">
        <f>'Employee Tracker'!R10</f>
        <v/>
      </c>
    </row>
    <row r="22">
      <c r="A22" s="32">
        <f>'Employee Tracker'!B11</f>
        <v/>
      </c>
      <c r="B22" s="28">
        <f>'Employee Tracker'!Q11</f>
        <v/>
      </c>
      <c r="C22" s="32">
        <f>'Employee Tracker'!D11</f>
        <v/>
      </c>
      <c r="D22" s="33">
        <f>'Employee Tracker'!R11</f>
        <v/>
      </c>
    </row>
    <row r="23">
      <c r="A23" s="26">
        <f>'Employee Tracker'!B12</f>
        <v/>
      </c>
      <c r="B23" s="31">
        <f>'Employee Tracker'!Q12</f>
        <v/>
      </c>
      <c r="C23" s="26">
        <f>'Employee Tracker'!D12</f>
        <v/>
      </c>
      <c r="D23" s="29">
        <f>'Employee Tracker'!R12</f>
        <v/>
      </c>
    </row>
  </sheetData>
  <mergeCells count="2">
    <mergeCell ref="A1:F1"/>
    <mergeCell ref="A2:F2"/>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2" customWidth="1" min="1" max="1"/>
    <col width="110" customWidth="1" min="2" max="2"/>
  </cols>
  <sheetData>
    <row r="1">
      <c r="A1" s="1" t="inlineStr">
        <is>
          <t>Long Service Leave Tracker — User Guide</t>
        </is>
      </c>
    </row>
    <row r="2"/>
    <row r="3" ht="58" customHeight="1">
      <c r="A3" s="34" t="inlineStr">
        <is>
          <t>Purpose</t>
        </is>
      </c>
      <c r="B3" s="7" t="inlineStr">
        <is>
          <t>Monitor employee service, projected long service leave (LSL) eligibility, accrued balances and estimated liability for your Australian workforce.</t>
        </is>
      </c>
    </row>
    <row r="4" ht="58" customHeight="1">
      <c r="A4" s="34" t="inlineStr">
        <is>
          <t>Legal note</t>
        </is>
      </c>
      <c r="B4" s="7" t="inlineStr">
        <is>
          <t>LSL rules vary by state/territory legislation, industrial instrument (award or enterprise agreement) and individual employment arrangements. Confirm the applicable requirements with the relevant state authority, the Fair Work Ombudsman, or an employment adviser before relying on this workbook.</t>
        </is>
      </c>
    </row>
    <row r="5" ht="58" customHeight="1">
      <c r="A5" s="34" t="inlineStr">
        <is>
          <t>Default assumptions</t>
        </is>
      </c>
      <c r="B5" s="7" t="inlineStr">
        <is>
          <t>8.67 weeks' entitlement after 10 years' service, a pro-rata eligibility threshold of 7 years, and 52 weeks per service year. These defaults are editable in the yellow cells on the Settings sheet (cells B3:B6).</t>
        </is>
      </c>
    </row>
    <row r="6" ht="58" customHeight="1">
      <c r="A6" s="34" t="inlineStr">
        <is>
          <t>Location Rules</t>
        </is>
      </c>
      <c r="B6" s="7" t="inlineStr">
        <is>
          <t>The Settings sheet contains a Location Rules table used by VLOOKUP so each state/territory can have its own entitlement and pro-rata threshold. Edit or add locations as required, then match the Location text on the Employee Tracker.</t>
        </is>
      </c>
    </row>
    <row r="7" ht="58" customHeight="1">
      <c r="A7" s="34" t="inlineStr">
        <is>
          <t>Colour key</t>
        </is>
      </c>
      <c r="B7" s="7" t="inlineStr">
        <is>
          <t>Pale yellow cells are user inputs (employee details, salary, LSL taken, notes and settings). White/alternating rows contain formulas — do not overtype them. Green = Eligible, amber = Pro-rata eligible, red = Not yet eligible or a data alert (negative balance / missing key inputs).</t>
        </is>
      </c>
    </row>
    <row r="8" ht="58" customHeight="1">
      <c r="A8" s="34" t="inlineStr">
        <is>
          <t>Employee Tracker</t>
        </is>
      </c>
      <c r="B8" s="7" t="inlineStr">
        <is>
          <t>Enter one row per employee. 'Service Start Date for LSL' adds recognised prior service to the current start date so long tenures can be modelled while keeping current 2026 dates. Status, accrued weeks, balance, value and next eligibility date are calculated automatically.</t>
        </is>
      </c>
    </row>
    <row r="9" ht="58" customHeight="1">
      <c r="A9" s="34" t="inlineStr">
        <is>
          <t>Summary</t>
        </is>
      </c>
      <c r="B9" s="7" t="inlineStr">
        <is>
          <t>Dashboard of key metrics (headcount, average service, eligible count, total balance and liability) plus charts: balance by employee, status breakdown and liability by location.</t>
        </is>
      </c>
    </row>
    <row r="10" ht="58" customHeight="1">
      <c r="A10" s="34" t="inlineStr">
        <is>
          <t>Formats</t>
        </is>
      </c>
      <c r="B10" s="7" t="inlineStr">
        <is>
          <t>Dates use DD/MM/YYYY and all currency values are Australian dollars (AUD).</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2026-08-01T03:35:45Z</dcterms:created>
  <dcterms:modified xmlns:dcterms="http://purl.org/dc/terms/" xmlns:xsi="http://www.w3.org/2001/XMLSchema-instance" xsi:type="dcterms:W3CDTF">2026-08-01T03:35:45Z</dcterms:modified>
</cp:coreProperties>
</file>