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rvice Agreements" sheetId="1" state="visible" r:id="rId1"/>
    <sheet xmlns:r="http://schemas.openxmlformats.org/officeDocument/2006/relationships" name="Service Log"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4">
    <numFmt numFmtId="164" formatCode="DD/MM/YYYY"/>
    <numFmt numFmtId="165" formatCode="$#,##0.00"/>
    <numFmt numFmtId="166" formatCode="HH:MM"/>
    <numFmt numFmtId="167" formatCode="0.0%"/>
  </numFmts>
  <fonts count="5">
    <font>
      <name val="Calibri"/>
      <family val="2"/>
      <color theme="1"/>
      <sz val="11"/>
      <scheme val="minor"/>
    </font>
    <font>
      <name val="Calibri"/>
      <b val="1"/>
      <color rgb="00FFFFFF"/>
      <sz val="14"/>
    </font>
    <font>
      <name val="Calibri"/>
      <b val="1"/>
      <color rgb="00FFFFFF"/>
      <sz val="11"/>
    </font>
    <font>
      <b val="1"/>
      <color rgb="00006A4E"/>
      <sz val="12"/>
    </font>
    <font>
      <b val="1"/>
    </font>
  </fonts>
  <fills count="8">
    <fill>
      <patternFill/>
    </fill>
    <fill>
      <patternFill patternType="gray125"/>
    </fill>
    <fill>
      <patternFill patternType="solid">
        <fgColor rgb="001E293B"/>
        <bgColor rgb="001E293B"/>
      </patternFill>
    </fill>
    <fill>
      <patternFill patternType="solid">
        <fgColor rgb="000F766E"/>
        <bgColor rgb="000F766E"/>
      </patternFill>
    </fill>
    <fill>
      <patternFill patternType="solid">
        <fgColor rgb="00F8FAFC"/>
        <bgColor rgb="00F8FAFC"/>
      </patternFill>
    </fill>
    <fill>
      <patternFill patternType="solid">
        <fgColor rgb="00FFFBEB"/>
        <bgColor rgb="00FFFBEB"/>
      </patternFill>
    </fill>
    <fill>
      <patternFill patternType="solid">
        <fgColor rgb="00FFFFFF"/>
        <bgColor rgb="00FFFFFF"/>
      </patternFill>
    </fill>
    <fill>
      <patternFill patternType="solid">
        <fgColor rgb="00006A4E"/>
        <bgColor rgb="00006A4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0">
    <xf numFmtId="0" fontId="0" fillId="0" borderId="0" pivotButton="0" quotePrefix="0" xfId="0"/>
    <xf numFmtId="0" fontId="1" fillId="2" borderId="0" applyAlignment="1" pivotButton="0" quotePrefix="0" xfId="0">
      <alignment horizontal="center" vertical="center" wrapText="1"/>
    </xf>
    <xf numFmtId="0" fontId="2" fillId="3"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wrapText="1"/>
    </xf>
    <xf numFmtId="164" fontId="0" fillId="4" borderId="1" applyAlignment="1" pivotButton="0" quotePrefix="0" xfId="0">
      <alignment horizontal="center" vertical="center" wrapText="1"/>
    </xf>
    <xf numFmtId="165"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165" fontId="0" fillId="4" borderId="1" applyAlignment="1" pivotButton="0" quotePrefix="0" xfId="0">
      <alignment horizontal="center" vertical="center" wrapText="1"/>
    </xf>
    <xf numFmtId="0" fontId="0" fillId="0" borderId="1" pivotButton="0" quotePrefix="0" xfId="0"/>
    <xf numFmtId="0" fontId="0" fillId="6" borderId="1" applyAlignment="1" pivotButton="0" quotePrefix="0" xfId="0">
      <alignment horizontal="center" vertical="center" wrapText="1"/>
    </xf>
    <xf numFmtId="0" fontId="0" fillId="6" borderId="1" applyAlignment="1" pivotButton="0" quotePrefix="0" xfId="0">
      <alignment horizontal="left" vertical="center" wrapText="1"/>
    </xf>
    <xf numFmtId="164" fontId="0" fillId="6" borderId="1" applyAlignment="1" pivotButton="0" quotePrefix="0" xfId="0">
      <alignment horizontal="center" vertical="center" wrapText="1"/>
    </xf>
    <xf numFmtId="165" fontId="0" fillId="6" borderId="1" applyAlignment="1" pivotButton="0" quotePrefix="0" xfId="0">
      <alignment horizontal="center" vertical="center" wrapText="1"/>
    </xf>
    <xf numFmtId="166" fontId="0" fillId="5" borderId="1" applyAlignment="1" pivotButton="0" quotePrefix="0" xfId="0">
      <alignment horizontal="center" vertical="center" wrapText="1"/>
    </xf>
    <xf numFmtId="2" fontId="0" fillId="4" borderId="1" applyAlignment="1" pivotButton="0" quotePrefix="0" xfId="0">
      <alignment horizontal="center" vertical="center" wrapText="1"/>
    </xf>
    <xf numFmtId="164" fontId="0" fillId="5" borderId="1" applyAlignment="1" pivotButton="0" quotePrefix="0" xfId="0">
      <alignment horizontal="center" vertical="center" wrapText="1"/>
    </xf>
    <xf numFmtId="2" fontId="0" fillId="6" borderId="1" applyAlignment="1" pivotButton="0" quotePrefix="0" xfId="0">
      <alignment horizontal="center" vertical="center" wrapText="1"/>
    </xf>
    <xf numFmtId="0" fontId="3" fillId="0" borderId="0" pivotButton="0" quotePrefix="0" xfId="0"/>
    <xf numFmtId="0" fontId="2" fillId="7" borderId="1" pivotButton="0" quotePrefix="0" xfId="0"/>
    <xf numFmtId="167" fontId="0" fillId="6" borderId="1" applyAlignment="1" pivotButton="0" quotePrefix="0" xfId="0">
      <alignment horizontal="center" vertical="center" wrapText="1"/>
    </xf>
    <xf numFmtId="0" fontId="2" fillId="3" borderId="1" pivotButton="0" quotePrefix="0" xfId="0"/>
    <xf numFmtId="0" fontId="0" fillId="4" borderId="1" pivotButton="0" quotePrefix="0" xfId="0"/>
    <xf numFmtId="0" fontId="0" fillId="6" borderId="1" pivotButton="0" quotePrefix="0" xfId="0"/>
    <xf numFmtId="165" fontId="0" fillId="4" borderId="1" pivotButton="0" quotePrefix="0" xfId="0"/>
    <xf numFmtId="165" fontId="0" fillId="6" borderId="1" pivotButton="0" quotePrefix="0" xfId="0"/>
    <xf numFmtId="0" fontId="4" fillId="4" borderId="1" applyAlignment="1" pivotButton="0" quotePrefix="0" xfId="0">
      <alignment vertical="top" wrapText="1"/>
    </xf>
    <xf numFmtId="0" fontId="0" fillId="4" borderId="1" applyAlignment="1" pivotButton="0" quotePrefix="0" xfId="0">
      <alignment vertical="top" wrapText="1"/>
    </xf>
    <xf numFmtId="0" fontId="4" fillId="6" borderId="1" applyAlignment="1" pivotButton="0" quotePrefix="0" xfId="0">
      <alignment vertical="top" wrapText="1"/>
    </xf>
    <xf numFmtId="0" fontId="0" fillId="6" borderId="1" applyAlignment="1" pivotButton="0" quotePrefix="0" xfId="0">
      <alignment vertical="top" wrapText="1"/>
    </xf>
    <xf numFmtId="164" fontId="0" fillId="4" borderId="1" applyAlignment="1" pivotButton="0" quotePrefix="0" xfId="0">
      <alignment horizontal="center" vertical="center" wrapText="1"/>
    </xf>
    <xf numFmtId="165" fontId="0" fillId="5" borderId="1" applyAlignment="1" pivotButton="0" quotePrefix="0" xfId="0">
      <alignment horizontal="center" vertical="center" wrapText="1"/>
    </xf>
    <xf numFmtId="165" fontId="0" fillId="4" borderId="1" applyAlignment="1" pivotButton="0" quotePrefix="0" xfId="0">
      <alignment horizontal="center" vertical="center" wrapText="1"/>
    </xf>
    <xf numFmtId="164" fontId="0" fillId="6" borderId="1" applyAlignment="1" pivotButton="0" quotePrefix="0" xfId="0">
      <alignment horizontal="center" vertical="center" wrapText="1"/>
    </xf>
    <xf numFmtId="165" fontId="0" fillId="6" borderId="1" applyAlignment="1" pivotButton="0" quotePrefix="0" xfId="0">
      <alignment horizontal="center" vertical="center" wrapText="1"/>
    </xf>
    <xf numFmtId="166" fontId="0" fillId="5" borderId="1" applyAlignment="1" pivotButton="0" quotePrefix="0" xfId="0">
      <alignment horizontal="center" vertical="center" wrapText="1"/>
    </xf>
    <xf numFmtId="164" fontId="0" fillId="5" borderId="1" applyAlignment="1" pivotButton="0" quotePrefix="0" xfId="0">
      <alignment horizontal="center" vertical="center" wrapText="1"/>
    </xf>
    <xf numFmtId="167" fontId="0" fillId="6" borderId="1" applyAlignment="1" pivotButton="0" quotePrefix="0" xfId="0">
      <alignment horizontal="center" vertical="center" wrapText="1"/>
    </xf>
    <xf numFmtId="165" fontId="0" fillId="4" borderId="1" pivotButton="0" quotePrefix="0" xfId="0"/>
    <xf numFmtId="165" fontId="0" fillId="6" borderId="1" pivotButton="0" quotePrefix="0" xfId="0"/>
  </cellXfs>
  <cellStyles count="1">
    <cellStyle name="Normal" xfId="0" builtinId="0" hidden="0"/>
  </cellStyles>
  <dxfs count="3">
    <dxf>
      <font>
        <b val="1"/>
        <color rgb="00DC2626"/>
      </font>
      <fill>
        <patternFill patternType="solid">
          <fgColor rgb="00FEE2E2"/>
          <bgColor rgb="00FEE2E2"/>
        </patternFill>
      </fill>
    </dxf>
    <dxf>
      <fill>
        <patternFill patternType="solid">
          <fgColor rgb="00DCFCE7"/>
          <bgColor rgb="00DCFCE7"/>
        </patternFill>
      </fill>
    </dxf>
    <dxf>
      <fill>
        <patternFill patternType="solid">
          <fgColor rgb="00FEF3C7"/>
          <b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Agreed vs Total Billed by Service Type</a:t>
            </a:r>
          </a:p>
        </rich>
      </tx>
    </title>
    <plotArea>
      <barChart>
        <barDir val="col"/>
        <grouping val="clustered"/>
        <ser>
          <idx val="0"/>
          <order val="0"/>
          <tx>
            <strRef>
              <f>'Dashboard'!B14</f>
            </strRef>
          </tx>
          <spPr>
            <a:solidFill xmlns:a="http://schemas.openxmlformats.org/drawingml/2006/main">
              <a:srgbClr val="0F766E"/>
            </a:solidFill>
            <a:ln xmlns:a="http://schemas.openxmlformats.org/drawingml/2006/main">
              <a:prstDash val="solid"/>
            </a:ln>
          </spPr>
          <cat>
            <numRef>
              <f>'Dashboard'!$A$15:$A$24</f>
            </numRef>
          </cat>
          <val>
            <numRef>
              <f>'Dashboard'!$B$15:$B$24</f>
            </numRef>
          </val>
        </ser>
        <ser>
          <idx val="1"/>
          <order val="1"/>
          <tx>
            <strRef>
              <f>'Dashboard'!C14</f>
            </strRef>
          </tx>
          <spPr>
            <a:solidFill xmlns:a="http://schemas.openxmlformats.org/drawingml/2006/main">
              <a:srgbClr val="14B8A6"/>
            </a:solidFill>
            <a:ln xmlns:a="http://schemas.openxmlformats.org/drawingml/2006/main">
              <a:prstDash val="solid"/>
            </a:ln>
          </spPr>
          <cat>
            <numRef>
              <f>'Dashboard'!$A$15:$A$24</f>
            </numRef>
          </cat>
          <val>
            <numRef>
              <f>'Dashboard'!$C$15:$C$24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Service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Agreement Status Breakdown</a:t>
            </a:r>
          </a:p>
        </rich>
      </tx>
    </title>
    <plotArea>
      <pieChart>
        <varyColors val="1"/>
        <ser>
          <idx val="0"/>
          <order val="0"/>
          <tx>
            <strRef>
              <f>'Dashboard'!F14</f>
            </strRef>
          </tx>
          <spPr>
            <a:ln xmlns:a="http://schemas.openxmlformats.org/drawingml/2006/main">
              <a:prstDash val="solid"/>
            </a:ln>
          </spPr>
          <cat>
            <numRef>
              <f>'Dashboard'!$E$15:$E$17</f>
            </numRef>
          </cat>
          <val>
            <numRef>
              <f>'Dashboard'!$F$15:$F$17</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Monthly Billed Amounts</a:t>
            </a:r>
          </a:p>
        </rich>
      </tx>
    </title>
    <plotArea>
      <lineChart>
        <grouping val="standard"/>
        <ser>
          <idx val="0"/>
          <order val="0"/>
          <tx>
            <strRef>
              <f>'Dashboard'!B28</f>
            </strRef>
          </tx>
          <spPr>
            <a:ln xmlns:a="http://schemas.openxmlformats.org/drawingml/2006/main" w="20000">
              <a:prstDash val="solid"/>
            </a:ln>
          </spPr>
          <marker>
            <symbol val="none"/>
            <spPr>
              <a:ln xmlns:a="http://schemas.openxmlformats.org/drawingml/2006/main">
                <a:prstDash val="solid"/>
              </a:ln>
            </spPr>
          </marker>
          <cat>
            <numRef>
              <f>'Dashboard'!$A$29:$A$35</f>
            </numRef>
          </cat>
          <val>
            <numRef>
              <f>'Dashboard'!$B$29:$B$35</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12</col>
      <colOff>0</colOff>
      <row>2</row>
      <rowOff>0</rowOff>
    </from>
    <ext cx="648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U12"/>
  <sheetViews>
    <sheetView workbookViewId="0">
      <pane ySplit="2" topLeftCell="A3" activePane="bottomLeft" state="frozen"/>
      <selection pane="bottomLeft" activeCell="A1" sqref="A1"/>
    </sheetView>
  </sheetViews>
  <sheetFormatPr baseColWidth="8" defaultRowHeight="15"/>
  <cols>
    <col width="12" customWidth="1" min="1" max="1"/>
    <col width="16" customWidth="1" min="2" max="2"/>
    <col width="14" customWidth="1" min="3" max="3"/>
    <col width="14" customWidth="1" min="4" max="4"/>
    <col width="15" customWidth="1" min="5" max="5"/>
    <col width="14" customWidth="1" min="6" max="6"/>
    <col width="14" customWidth="1" min="7" max="7"/>
    <col width="16" customWidth="1" min="8" max="8"/>
    <col width="16" customWidth="1" min="9" max="9"/>
    <col width="22" customWidth="1" min="10" max="10"/>
    <col width="16" customWidth="1" min="11" max="11"/>
    <col width="13" customWidth="1" min="12" max="12"/>
    <col width="15" customWidth="1" min="13" max="13"/>
    <col width="12" customWidth="1" min="14" max="14"/>
    <col width="13" customWidth="1" min="15" max="15"/>
    <col width="14" customWidth="1" min="16" max="16"/>
    <col width="14" customWidth="1" min="17" max="17"/>
    <col width="15" customWidth="1" min="18" max="18"/>
    <col width="14" customWidth="1" min="19" max="19"/>
    <col width="13" customWidth="1" min="20" max="20"/>
    <col width="20" customWidth="1" min="21" max="21"/>
  </cols>
  <sheetData>
    <row r="1" ht="26" customHeight="1">
      <c r="A1" s="1" t="inlineStr">
        <is>
          <t>NDIS SERVICE AGREEMENT REGISTER - AUSTRALIA</t>
        </is>
      </c>
    </row>
    <row r="2">
      <c r="A2" s="2" t="inlineStr">
        <is>
          <t>Agreement ID</t>
        </is>
      </c>
      <c r="B2" s="2" t="inlineStr">
        <is>
          <t>Participant Name</t>
        </is>
      </c>
      <c r="C2" s="2" t="inlineStr">
        <is>
          <t>NDIS Number</t>
        </is>
      </c>
      <c r="D2" s="2" t="inlineStr">
        <is>
          <t>Participant City</t>
        </is>
      </c>
      <c r="E2" s="2" t="inlineStr">
        <is>
          <t>Support Coordinator</t>
        </is>
      </c>
      <c r="F2" s="2" t="inlineStr">
        <is>
          <t>Plan Start Date</t>
        </is>
      </c>
      <c r="G2" s="2" t="inlineStr">
        <is>
          <t>Plan End Date</t>
        </is>
      </c>
      <c r="H2" s="2" t="inlineStr">
        <is>
          <t>Agreement Start Date</t>
        </is>
      </c>
      <c r="I2" s="2" t="inlineStr">
        <is>
          <t>Agreement End Date</t>
        </is>
      </c>
      <c r="J2" s="2" t="inlineStr">
        <is>
          <t>Service Type</t>
        </is>
      </c>
      <c r="K2" s="2" t="inlineStr">
        <is>
          <t>Service Category</t>
        </is>
      </c>
      <c r="L2" s="2" t="inlineStr">
        <is>
          <t>Hourly Rate ($)</t>
        </is>
      </c>
      <c r="M2" s="2" t="inlineStr">
        <is>
          <t>GST Applicable? (Y/N)</t>
        </is>
      </c>
      <c r="N2" s="2" t="inlineStr">
        <is>
          <t>Hours Agreed</t>
        </is>
      </c>
      <c r="O2" s="2" t="inlineStr">
        <is>
          <t>Hours Delivered</t>
        </is>
      </c>
      <c r="P2" s="2" t="inlineStr">
        <is>
          <t>Total Agreed ($)</t>
        </is>
      </c>
      <c r="Q2" s="2" t="inlineStr">
        <is>
          <t>Total Billed ($)</t>
        </is>
      </c>
      <c r="R2" s="2" t="inlineStr">
        <is>
          <t>Balance Remaining ($)</t>
        </is>
      </c>
      <c r="S2" s="2" t="inlineStr">
        <is>
          <t>Agreement Status</t>
        </is>
      </c>
      <c r="T2" s="2" t="inlineStr">
        <is>
          <t>Days Until Expiry</t>
        </is>
      </c>
      <c r="U2" s="2" t="inlineStr">
        <is>
          <t>Notes</t>
        </is>
      </c>
    </row>
    <row r="3">
      <c r="A3" s="3" t="inlineStr">
        <is>
          <t>SA-1001</t>
        </is>
      </c>
      <c r="B3" s="4" t="inlineStr">
        <is>
          <t>Jack Thompson</t>
        </is>
      </c>
      <c r="C3" s="3" t="inlineStr">
        <is>
          <t>4301112233</t>
        </is>
      </c>
      <c r="D3" s="4" t="inlineStr">
        <is>
          <t>Sydney</t>
        </is>
      </c>
      <c r="E3" s="4" t="inlineStr">
        <is>
          <t>Karen White</t>
        </is>
      </c>
      <c r="F3" s="30" t="n">
        <v>46023</v>
      </c>
      <c r="G3" s="30" t="n">
        <v>46387</v>
      </c>
      <c r="H3" s="30" t="n">
        <v>46023</v>
      </c>
      <c r="I3" s="30" t="n">
        <v>46387</v>
      </c>
      <c r="J3" s="4" t="inlineStr">
        <is>
          <t>Supported Independent Living</t>
        </is>
      </c>
      <c r="K3" s="4" t="inlineStr">
        <is>
          <t>Core Support</t>
        </is>
      </c>
      <c r="L3" s="31" t="n">
        <v>68.5</v>
      </c>
      <c r="M3" s="7" t="inlineStr">
        <is>
          <t>N</t>
        </is>
      </c>
      <c r="N3" s="7" t="n">
        <v>520</v>
      </c>
      <c r="O3" s="7" t="n">
        <v>310</v>
      </c>
      <c r="P3" s="32">
        <f>L3*N3</f>
        <v/>
      </c>
      <c r="Q3" s="32">
        <f>L3*O3</f>
        <v/>
      </c>
      <c r="R3" s="32">
        <f>P3-Q3</f>
        <v/>
      </c>
      <c r="S3" s="3">
        <f>IF(TODAY()&gt;I3,"Expired",IF(TODAY()&gt;=H3,"Active","Pending"))</f>
        <v/>
      </c>
      <c r="T3" s="3">
        <f>I3-TODAY()</f>
        <v/>
      </c>
      <c r="U3" s="9" t="inlineStr"/>
    </row>
    <row r="4">
      <c r="A4" s="10" t="inlineStr">
        <is>
          <t>SA-1002</t>
        </is>
      </c>
      <c r="B4" s="11" t="inlineStr">
        <is>
          <t>Olivia Martin</t>
        </is>
      </c>
      <c r="C4" s="10" t="inlineStr">
        <is>
          <t>4301112244</t>
        </is>
      </c>
      <c r="D4" s="11" t="inlineStr">
        <is>
          <t>Melbourne</t>
        </is>
      </c>
      <c r="E4" s="11" t="inlineStr">
        <is>
          <t>Karen White</t>
        </is>
      </c>
      <c r="F4" s="33" t="n">
        <v>46054</v>
      </c>
      <c r="G4" s="33" t="n">
        <v>46418</v>
      </c>
      <c r="H4" s="33" t="n">
        <v>46054</v>
      </c>
      <c r="I4" s="33" t="n">
        <v>46418</v>
      </c>
      <c r="J4" s="11" t="inlineStr">
        <is>
          <t>Community Access</t>
        </is>
      </c>
      <c r="K4" s="11" t="inlineStr">
        <is>
          <t>Core Support</t>
        </is>
      </c>
      <c r="L4" s="31" t="n">
        <v>55.25</v>
      </c>
      <c r="M4" s="7" t="inlineStr">
        <is>
          <t>Y</t>
        </is>
      </c>
      <c r="N4" s="7" t="n">
        <v>300</v>
      </c>
      <c r="O4" s="7" t="n">
        <v>180</v>
      </c>
      <c r="P4" s="34">
        <f>L4*N4</f>
        <v/>
      </c>
      <c r="Q4" s="34">
        <f>L4*O4</f>
        <v/>
      </c>
      <c r="R4" s="34">
        <f>P4-Q4</f>
        <v/>
      </c>
      <c r="S4" s="10">
        <f>IF(TODAY()&gt;I4,"Expired",IF(TODAY()&gt;=H4,"Active","Pending"))</f>
        <v/>
      </c>
      <c r="T4" s="10">
        <f>I4-TODAY()</f>
        <v/>
      </c>
      <c r="U4" s="9" t="inlineStr"/>
    </row>
    <row r="5">
      <c r="A5" s="3" t="inlineStr">
        <is>
          <t>SA-1003</t>
        </is>
      </c>
      <c r="B5" s="4" t="inlineStr">
        <is>
          <t>Liam Nguyen</t>
        </is>
      </c>
      <c r="C5" s="3" t="inlineStr">
        <is>
          <t>4301112255</t>
        </is>
      </c>
      <c r="D5" s="4" t="inlineStr">
        <is>
          <t>Brisbane</t>
        </is>
      </c>
      <c r="E5" s="4" t="inlineStr">
        <is>
          <t>Tom Reid</t>
        </is>
      </c>
      <c r="F5" s="30" t="n">
        <v>46082</v>
      </c>
      <c r="G5" s="30" t="n">
        <v>46295</v>
      </c>
      <c r="H5" s="30" t="n">
        <v>46235</v>
      </c>
      <c r="I5" s="30" t="n">
        <v>46446</v>
      </c>
      <c r="J5" s="4" t="inlineStr">
        <is>
          <t>Domestic Assistance</t>
        </is>
      </c>
      <c r="K5" s="4" t="inlineStr">
        <is>
          <t>Core Support</t>
        </is>
      </c>
      <c r="L5" s="31" t="n">
        <v>48.75</v>
      </c>
      <c r="M5" s="7" t="inlineStr">
        <is>
          <t>N</t>
        </is>
      </c>
      <c r="N5" s="7" t="n">
        <v>150</v>
      </c>
      <c r="O5" s="7" t="n">
        <v>20</v>
      </c>
      <c r="P5" s="32">
        <f>L5*N5</f>
        <v/>
      </c>
      <c r="Q5" s="32">
        <f>L5*O5</f>
        <v/>
      </c>
      <c r="R5" s="32">
        <f>P5-Q5</f>
        <v/>
      </c>
      <c r="S5" s="3">
        <f>IF(TODAY()&gt;I5,"Expired",IF(TODAY()&gt;=H5,"Active","Pending"))</f>
        <v/>
      </c>
      <c r="T5" s="3">
        <f>I5-TODAY()</f>
        <v/>
      </c>
      <c r="U5" s="9" t="inlineStr"/>
    </row>
    <row r="6">
      <c r="A6" s="10" t="inlineStr">
        <is>
          <t>SA-1004</t>
        </is>
      </c>
      <c r="B6" s="11" t="inlineStr">
        <is>
          <t>Charlotte Brown</t>
        </is>
      </c>
      <c r="C6" s="10" t="inlineStr">
        <is>
          <t>4301112266</t>
        </is>
      </c>
      <c r="D6" s="11" t="inlineStr">
        <is>
          <t>Perth</t>
        </is>
      </c>
      <c r="E6" s="11" t="inlineStr">
        <is>
          <t>Tom Reid</t>
        </is>
      </c>
      <c r="F6" s="33" t="n">
        <v>46037</v>
      </c>
      <c r="G6" s="33" t="n">
        <v>46370</v>
      </c>
      <c r="H6" s="33" t="n">
        <v>46037</v>
      </c>
      <c r="I6" s="33" t="n">
        <v>46370</v>
      </c>
      <c r="J6" s="11" t="inlineStr">
        <is>
          <t>STA / Respite</t>
        </is>
      </c>
      <c r="K6" s="11" t="inlineStr">
        <is>
          <t>Core Support</t>
        </is>
      </c>
      <c r="L6" s="31" t="n">
        <v>72</v>
      </c>
      <c r="M6" s="7" t="inlineStr">
        <is>
          <t>N</t>
        </is>
      </c>
      <c r="N6" s="7" t="n">
        <v>200</v>
      </c>
      <c r="O6" s="7" t="n">
        <v>140</v>
      </c>
      <c r="P6" s="34">
        <f>L6*N6</f>
        <v/>
      </c>
      <c r="Q6" s="34">
        <f>L6*O6</f>
        <v/>
      </c>
      <c r="R6" s="34">
        <f>P6-Q6</f>
        <v/>
      </c>
      <c r="S6" s="10">
        <f>IF(TODAY()&gt;I6,"Expired",IF(TODAY()&gt;=H6,"Active","Pending"))</f>
        <v/>
      </c>
      <c r="T6" s="10">
        <f>I6-TODAY()</f>
        <v/>
      </c>
      <c r="U6" s="9" t="inlineStr"/>
    </row>
    <row r="7">
      <c r="A7" s="3" t="inlineStr">
        <is>
          <t>SA-1005</t>
        </is>
      </c>
      <c r="B7" s="4" t="inlineStr">
        <is>
          <t>Noah Wilson</t>
        </is>
      </c>
      <c r="C7" s="3" t="inlineStr">
        <is>
          <t>4301112277</t>
        </is>
      </c>
      <c r="D7" s="4" t="inlineStr">
        <is>
          <t>Adelaide</t>
        </is>
      </c>
      <c r="E7" s="4" t="inlineStr">
        <is>
          <t>Karen White</t>
        </is>
      </c>
      <c r="F7" s="30" t="n">
        <v>46113</v>
      </c>
      <c r="G7" s="30" t="n">
        <v>46477</v>
      </c>
      <c r="H7" s="30" t="n">
        <v>46113</v>
      </c>
      <c r="I7" s="30" t="n">
        <v>46477</v>
      </c>
      <c r="J7" s="4" t="inlineStr">
        <is>
          <t>Personal Care</t>
        </is>
      </c>
      <c r="K7" s="4" t="inlineStr">
        <is>
          <t>Core Support</t>
        </is>
      </c>
      <c r="L7" s="31" t="n">
        <v>62.3</v>
      </c>
      <c r="M7" s="7" t="inlineStr">
        <is>
          <t>N</t>
        </is>
      </c>
      <c r="N7" s="7" t="n">
        <v>400</v>
      </c>
      <c r="O7" s="7" t="n">
        <v>260</v>
      </c>
      <c r="P7" s="32">
        <f>L7*N7</f>
        <v/>
      </c>
      <c r="Q7" s="32">
        <f>L7*O7</f>
        <v/>
      </c>
      <c r="R7" s="32">
        <f>P7-Q7</f>
        <v/>
      </c>
      <c r="S7" s="3">
        <f>IF(TODAY()&gt;I7,"Expired",IF(TODAY()&gt;=H7,"Active","Pending"))</f>
        <v/>
      </c>
      <c r="T7" s="3">
        <f>I7-TODAY()</f>
        <v/>
      </c>
      <c r="U7" s="9" t="inlineStr"/>
    </row>
    <row r="8">
      <c r="A8" s="10" t="inlineStr">
        <is>
          <t>SA-1006</t>
        </is>
      </c>
      <c r="B8" s="11" t="inlineStr">
        <is>
          <t>Mia Anderson</t>
        </is>
      </c>
      <c r="C8" s="10" t="inlineStr">
        <is>
          <t>4301112288</t>
        </is>
      </c>
      <c r="D8" s="11" t="inlineStr">
        <is>
          <t>Gold Coast</t>
        </is>
      </c>
      <c r="E8" s="11" t="inlineStr">
        <is>
          <t>Priya Kapoor</t>
        </is>
      </c>
      <c r="F8" s="33" t="n">
        <v>46068</v>
      </c>
      <c r="G8" s="33" t="n">
        <v>46248</v>
      </c>
      <c r="H8" s="33" t="n">
        <v>46068</v>
      </c>
      <c r="I8" s="33" t="n">
        <v>46248</v>
      </c>
      <c r="J8" s="11" t="inlineStr">
        <is>
          <t>Transport Support</t>
        </is>
      </c>
      <c r="K8" s="11" t="inlineStr">
        <is>
          <t>Core Support</t>
        </is>
      </c>
      <c r="L8" s="31" t="n">
        <v>45</v>
      </c>
      <c r="M8" s="7" t="inlineStr">
        <is>
          <t>Y</t>
        </is>
      </c>
      <c r="N8" s="7" t="n">
        <v>180</v>
      </c>
      <c r="O8" s="7" t="n">
        <v>95</v>
      </c>
      <c r="P8" s="34">
        <f>L8*N8</f>
        <v/>
      </c>
      <c r="Q8" s="34">
        <f>L8*O8</f>
        <v/>
      </c>
      <c r="R8" s="34">
        <f>P8-Q8</f>
        <v/>
      </c>
      <c r="S8" s="10">
        <f>IF(TODAY()&gt;I8,"Expired",IF(TODAY()&gt;=H8,"Active","Pending"))</f>
        <v/>
      </c>
      <c r="T8" s="10">
        <f>I8-TODAY()</f>
        <v/>
      </c>
      <c r="U8" s="9" t="inlineStr"/>
    </row>
    <row r="9">
      <c r="A9" s="3" t="inlineStr">
        <is>
          <t>SA-1007</t>
        </is>
      </c>
      <c r="B9" s="4" t="inlineStr">
        <is>
          <t>Ethan Taylor</t>
        </is>
      </c>
      <c r="C9" s="3" t="inlineStr">
        <is>
          <t>4301112299</t>
        </is>
      </c>
      <c r="D9" s="4" t="inlineStr">
        <is>
          <t>Canberra</t>
        </is>
      </c>
      <c r="E9" s="4" t="inlineStr">
        <is>
          <t>Priya Kapoor</t>
        </is>
      </c>
      <c r="F9" s="30" t="n">
        <v>45870</v>
      </c>
      <c r="G9" s="30" t="n">
        <v>46223</v>
      </c>
      <c r="H9" s="30" t="n">
        <v>45870</v>
      </c>
      <c r="I9" s="30" t="n">
        <v>46223</v>
      </c>
      <c r="J9" s="4" t="inlineStr">
        <is>
          <t>Therapy Assistance</t>
        </is>
      </c>
      <c r="K9" s="4" t="inlineStr">
        <is>
          <t>Capacity Building</t>
        </is>
      </c>
      <c r="L9" s="31" t="n">
        <v>145</v>
      </c>
      <c r="M9" s="7" t="inlineStr">
        <is>
          <t>N</t>
        </is>
      </c>
      <c r="N9" s="7" t="n">
        <v>100</v>
      </c>
      <c r="O9" s="7" t="n">
        <v>96</v>
      </c>
      <c r="P9" s="32">
        <f>L9*N9</f>
        <v/>
      </c>
      <c r="Q9" s="32">
        <f>L9*O9</f>
        <v/>
      </c>
      <c r="R9" s="32">
        <f>P9-Q9</f>
        <v/>
      </c>
      <c r="S9" s="3">
        <f>IF(TODAY()&gt;I9,"Expired",IF(TODAY()&gt;=H9,"Active","Pending"))</f>
        <v/>
      </c>
      <c r="T9" s="3">
        <f>I9-TODAY()</f>
        <v/>
      </c>
      <c r="U9" s="9" t="inlineStr"/>
    </row>
    <row r="10">
      <c r="A10" s="10" t="inlineStr">
        <is>
          <t>SA-1008</t>
        </is>
      </c>
      <c r="B10" s="11" t="inlineStr">
        <is>
          <t>Ruby Clark</t>
        </is>
      </c>
      <c r="C10" s="10" t="inlineStr">
        <is>
          <t>4301112300</t>
        </is>
      </c>
      <c r="D10" s="11" t="inlineStr">
        <is>
          <t>Newcastle</t>
        </is>
      </c>
      <c r="E10" s="11" t="inlineStr">
        <is>
          <t>Tom Reid</t>
        </is>
      </c>
      <c r="F10" s="33" t="n">
        <v>46023</v>
      </c>
      <c r="G10" s="33" t="n">
        <v>46387</v>
      </c>
      <c r="H10" s="33" t="n">
        <v>46023</v>
      </c>
      <c r="I10" s="33" t="n">
        <v>46387</v>
      </c>
      <c r="J10" s="11" t="inlineStr">
        <is>
          <t>Behaviour Support</t>
        </is>
      </c>
      <c r="K10" s="11" t="inlineStr">
        <is>
          <t>Capacity Building</t>
        </is>
      </c>
      <c r="L10" s="31" t="n">
        <v>195.5</v>
      </c>
      <c r="M10" s="7" t="inlineStr">
        <is>
          <t>N</t>
        </is>
      </c>
      <c r="N10" s="7" t="n">
        <v>80</v>
      </c>
      <c r="O10" s="7" t="n">
        <v>45</v>
      </c>
      <c r="P10" s="34">
        <f>L10*N10</f>
        <v/>
      </c>
      <c r="Q10" s="34">
        <f>L10*O10</f>
        <v/>
      </c>
      <c r="R10" s="34">
        <f>P10-Q10</f>
        <v/>
      </c>
      <c r="S10" s="10">
        <f>IF(TODAY()&gt;I10,"Expired",IF(TODAY()&gt;=H10,"Active","Pending"))</f>
        <v/>
      </c>
      <c r="T10" s="10">
        <f>I10-TODAY()</f>
        <v/>
      </c>
      <c r="U10" s="9" t="inlineStr"/>
    </row>
    <row r="11">
      <c r="A11" s="3" t="inlineStr">
        <is>
          <t>SA-1009</t>
        </is>
      </c>
      <c r="B11" s="4" t="inlineStr">
        <is>
          <t>Cooper Harris</t>
        </is>
      </c>
      <c r="C11" s="3" t="inlineStr">
        <is>
          <t>4301112311</t>
        </is>
      </c>
      <c r="D11" s="4" t="inlineStr">
        <is>
          <t>Hobart</t>
        </is>
      </c>
      <c r="E11" s="4" t="inlineStr">
        <is>
          <t>Karen White</t>
        </is>
      </c>
      <c r="F11" s="30" t="n">
        <v>46266</v>
      </c>
      <c r="G11" s="30" t="n">
        <v>46446</v>
      </c>
      <c r="H11" s="30" t="n">
        <v>46266</v>
      </c>
      <c r="I11" s="30" t="n">
        <v>46446</v>
      </c>
      <c r="J11" s="4" t="inlineStr">
        <is>
          <t>House Cleaning</t>
        </is>
      </c>
      <c r="K11" s="4" t="inlineStr">
        <is>
          <t>Core Support</t>
        </is>
      </c>
      <c r="L11" s="31" t="n">
        <v>42</v>
      </c>
      <c r="M11" s="7" t="inlineStr">
        <is>
          <t>Y</t>
        </is>
      </c>
      <c r="N11" s="7" t="n">
        <v>120</v>
      </c>
      <c r="O11" s="7" t="n">
        <v>0</v>
      </c>
      <c r="P11" s="32">
        <f>L11*N11</f>
        <v/>
      </c>
      <c r="Q11" s="32">
        <f>L11*O11</f>
        <v/>
      </c>
      <c r="R11" s="32">
        <f>P11-Q11</f>
        <v/>
      </c>
      <c r="S11" s="3">
        <f>IF(TODAY()&gt;I11,"Expired",IF(TODAY()&gt;=H11,"Active","Pending"))</f>
        <v/>
      </c>
      <c r="T11" s="3">
        <f>I11-TODAY()</f>
        <v/>
      </c>
      <c r="U11" s="9" t="inlineStr"/>
    </row>
    <row r="12">
      <c r="A12" s="10" t="inlineStr">
        <is>
          <t>SA-1010</t>
        </is>
      </c>
      <c r="B12" s="11" t="inlineStr">
        <is>
          <t>Isla Scott</t>
        </is>
      </c>
      <c r="C12" s="10" t="inlineStr">
        <is>
          <t>4301112322</t>
        </is>
      </c>
      <c r="D12" s="11" t="inlineStr">
        <is>
          <t>Wollongong</t>
        </is>
      </c>
      <c r="E12" s="11" t="inlineStr">
        <is>
          <t>Priya Kapoor</t>
        </is>
      </c>
      <c r="F12" s="33" t="n">
        <v>46082</v>
      </c>
      <c r="G12" s="33" t="n">
        <v>46446</v>
      </c>
      <c r="H12" s="33" t="n">
        <v>46082</v>
      </c>
      <c r="I12" s="33" t="n">
        <v>46446</v>
      </c>
      <c r="J12" s="11" t="inlineStr">
        <is>
          <t>Social Participation</t>
        </is>
      </c>
      <c r="K12" s="11" t="inlineStr">
        <is>
          <t>Core Support</t>
        </is>
      </c>
      <c r="L12" s="31" t="n">
        <v>58.9</v>
      </c>
      <c r="M12" s="7" t="inlineStr">
        <is>
          <t>Y</t>
        </is>
      </c>
      <c r="N12" s="7" t="n">
        <v>250</v>
      </c>
      <c r="O12" s="7" t="n">
        <v>130</v>
      </c>
      <c r="P12" s="34">
        <f>L12*N12</f>
        <v/>
      </c>
      <c r="Q12" s="34">
        <f>L12*O12</f>
        <v/>
      </c>
      <c r="R12" s="34">
        <f>P12-Q12</f>
        <v/>
      </c>
      <c r="S12" s="10">
        <f>IF(TODAY()&gt;I12,"Expired",IF(TODAY()&gt;=H12,"Active","Pending"))</f>
        <v/>
      </c>
      <c r="T12" s="10">
        <f>I12-TODAY()</f>
        <v/>
      </c>
      <c r="U12" s="9" t="inlineStr"/>
    </row>
  </sheetData>
  <mergeCells count="1">
    <mergeCell ref="A1:U1"/>
  </mergeCells>
  <conditionalFormatting sqref="S3:S12">
    <cfRule type="expression" priority="1" dxfId="0" stopIfTrue="1">
      <formula>S3="Expired"</formula>
    </cfRule>
    <cfRule type="expression" priority="2" dxfId="1" stopIfTrue="1">
      <formula>S3="Active"</formula>
    </cfRule>
  </conditionalFormatting>
  <conditionalFormatting sqref="T3:T12">
    <cfRule type="expression" priority="3" dxfId="2" stopIfTrue="1">
      <formula>AND(T3&lt;=30,T3&gt;=0)</formula>
    </cfRule>
  </conditionalFormatting>
  <conditionalFormatting sqref="R3:R12">
    <cfRule type="cellIs" priority="4" operator="lessThan" dxfId="0">
      <formula>0</formula>
    </cfRule>
  </conditionalFormatting>
  <conditionalFormatting sqref="O3:O12">
    <cfRule type="expression" priority="5" dxfId="0" stopIfTrue="1">
      <formula>O3&gt;N3</formula>
    </cfRule>
  </conditionalFormatting>
  <dataValidations count="1">
    <dataValidation sqref="M3:M12" showErrorMessage="1" showInputMessage="1" allowBlank="1" type="list">
      <formula1>"Y,N"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12"/>
  <sheetViews>
    <sheetView workbookViewId="0">
      <pane ySplit="2" topLeftCell="A3" activePane="bottomLeft" state="frozen"/>
      <selection pane="bottomLeft" activeCell="A1" sqref="A1"/>
    </sheetView>
  </sheetViews>
  <sheetFormatPr baseColWidth="8" defaultRowHeight="15"/>
  <cols>
    <col width="10" customWidth="1" min="1" max="1"/>
    <col width="13" customWidth="1" min="2" max="2"/>
    <col width="13" customWidth="1" min="3" max="3"/>
    <col width="16" customWidth="1" min="4" max="4"/>
    <col width="12" customWidth="1" min="5" max="5"/>
    <col width="30" customWidth="1" min="6" max="6"/>
    <col width="13" customWidth="1" min="7" max="7"/>
    <col width="11" customWidth="1" min="8" max="8"/>
    <col width="11" customWidth="1" min="9" max="9"/>
    <col width="9" customWidth="1" min="10" max="10"/>
    <col width="12" customWidth="1" min="11" max="11"/>
    <col width="13" customWidth="1" min="12" max="12"/>
    <col width="13" customWidth="1" min="13" max="13"/>
    <col width="13" customWidth="1" min="14" max="14"/>
    <col width="13" customWidth="1" min="15" max="15"/>
    <col width="20" customWidth="1" min="16" max="16"/>
  </cols>
  <sheetData>
    <row r="1" ht="26" customHeight="1">
      <c r="A1" s="1" t="inlineStr">
        <is>
          <t>NDIS SERVICE LOG - SESSION BILLING RECORD</t>
        </is>
      </c>
    </row>
    <row r="2">
      <c r="A2" s="2" t="inlineStr">
        <is>
          <t>Log ID</t>
        </is>
      </c>
      <c r="B2" s="2" t="inlineStr">
        <is>
          <t>Agreement ID</t>
        </is>
      </c>
      <c r="C2" s="2" t="inlineStr">
        <is>
          <t>Service Date</t>
        </is>
      </c>
      <c r="D2" s="2" t="inlineStr">
        <is>
          <t>Participant Name</t>
        </is>
      </c>
      <c r="E2" s="2" t="inlineStr">
        <is>
          <t>Worker Name</t>
        </is>
      </c>
      <c r="F2" s="2" t="inlineStr">
        <is>
          <t>Support Item / Service Description</t>
        </is>
      </c>
      <c r="G2" s="2" t="inlineStr">
        <is>
          <t>City</t>
        </is>
      </c>
      <c r="H2" s="2" t="inlineStr">
        <is>
          <t>Start Time</t>
        </is>
      </c>
      <c r="I2" s="2" t="inlineStr">
        <is>
          <t>End Time</t>
        </is>
      </c>
      <c r="J2" s="2" t="inlineStr">
        <is>
          <t>Hours</t>
        </is>
      </c>
      <c r="K2" s="2" t="inlineStr">
        <is>
          <t>Unit Rate ($)</t>
        </is>
      </c>
      <c r="L2" s="2" t="inlineStr">
        <is>
          <t>Line Total ($)</t>
        </is>
      </c>
      <c r="M2" s="2" t="inlineStr">
        <is>
          <t>GST Amount ($)</t>
        </is>
      </c>
      <c r="N2" s="2" t="inlineStr">
        <is>
          <t>Invoice Status</t>
        </is>
      </c>
      <c r="O2" s="2" t="inlineStr">
        <is>
          <t>Payment Date</t>
        </is>
      </c>
      <c r="P2" s="2" t="inlineStr">
        <is>
          <t>Notes</t>
        </is>
      </c>
    </row>
    <row r="3">
      <c r="A3" s="3" t="inlineStr">
        <is>
          <t>SL-001</t>
        </is>
      </c>
      <c r="B3" s="3" t="inlineStr">
        <is>
          <t>SA-1001</t>
        </is>
      </c>
      <c r="C3" s="30" t="n">
        <v>46034</v>
      </c>
      <c r="D3" s="4">
        <f>IFERROR(VLOOKUP(B3,'Service Agreements'!A:B,2,FALSE),"")</f>
        <v/>
      </c>
      <c r="E3" s="7" t="inlineStr">
        <is>
          <t>Sarah</t>
        </is>
      </c>
      <c r="F3" s="4" t="inlineStr">
        <is>
          <t>Supported Independent Living support</t>
        </is>
      </c>
      <c r="G3" s="7" t="inlineStr">
        <is>
          <t>Sydney</t>
        </is>
      </c>
      <c r="H3" s="35" t="n">
        <v>0.3333333333333333</v>
      </c>
      <c r="I3" s="35" t="n">
        <v>0.5833333333333334</v>
      </c>
      <c r="J3" s="15">
        <f>(I3-H3)*24</f>
        <v/>
      </c>
      <c r="K3" s="31" t="n">
        <v>68.5</v>
      </c>
      <c r="L3" s="32">
        <f>J3*K3</f>
        <v/>
      </c>
      <c r="M3" s="32">
        <f>IFERROR(IF(VLOOKUP(B3,'Service Agreements'!A:M,13,FALSE)="Y",L3*0.1,0),0)</f>
        <v/>
      </c>
      <c r="N3" s="3">
        <f>IF(O3&lt;&gt;"","Paid","Unpaid")</f>
        <v/>
      </c>
      <c r="O3" s="36" t="n">
        <v>46042</v>
      </c>
      <c r="P3" s="4" t="inlineStr"/>
    </row>
    <row r="4">
      <c r="A4" s="10" t="inlineStr">
        <is>
          <t>SL-002</t>
        </is>
      </c>
      <c r="B4" s="10" t="inlineStr">
        <is>
          <t>SA-1002</t>
        </is>
      </c>
      <c r="C4" s="33" t="n">
        <v>46063</v>
      </c>
      <c r="D4" s="11">
        <f>IFERROR(VLOOKUP(B4,'Service Agreements'!A:B,2,FALSE),"")</f>
        <v/>
      </c>
      <c r="E4" s="7" t="inlineStr">
        <is>
          <t>Ben</t>
        </is>
      </c>
      <c r="F4" s="11" t="inlineStr">
        <is>
          <t>Community access outing</t>
        </is>
      </c>
      <c r="G4" s="7" t="inlineStr">
        <is>
          <t>Melbourne</t>
        </is>
      </c>
      <c r="H4" s="35" t="n">
        <v>0.375</v>
      </c>
      <c r="I4" s="35" t="n">
        <v>0.5416666666666666</v>
      </c>
      <c r="J4" s="17">
        <f>(I4-H4)*24</f>
        <v/>
      </c>
      <c r="K4" s="31" t="n">
        <v>55.25</v>
      </c>
      <c r="L4" s="34">
        <f>J4*K4</f>
        <v/>
      </c>
      <c r="M4" s="34">
        <f>IFERROR(IF(VLOOKUP(B4,'Service Agreements'!A:M,13,FALSE)="Y",L4*0.1,0),0)</f>
        <v/>
      </c>
      <c r="N4" s="10">
        <f>IF(O4&lt;&gt;"","Paid","Unpaid")</f>
        <v/>
      </c>
      <c r="O4" s="36" t="n"/>
      <c r="P4" s="11" t="inlineStr"/>
    </row>
    <row r="5">
      <c r="A5" s="3" t="inlineStr">
        <is>
          <t>SL-003</t>
        </is>
      </c>
      <c r="B5" s="3" t="inlineStr">
        <is>
          <t>SA-1003</t>
        </is>
      </c>
      <c r="C5" s="30" t="n">
        <v>46086</v>
      </c>
      <c r="D5" s="4">
        <f>IFERROR(VLOOKUP(B5,'Service Agreements'!A:B,2,FALSE),"")</f>
        <v/>
      </c>
      <c r="E5" s="7" t="inlineStr">
        <is>
          <t>Chloe</t>
        </is>
      </c>
      <c r="F5" s="4" t="inlineStr">
        <is>
          <t>Domestic assistance - cleaning</t>
        </is>
      </c>
      <c r="G5" s="7" t="inlineStr">
        <is>
          <t>Brisbane</t>
        </is>
      </c>
      <c r="H5" s="35" t="n">
        <v>0.4166666666666667</v>
      </c>
      <c r="I5" s="35" t="n">
        <v>0.5</v>
      </c>
      <c r="J5" s="15">
        <f>(I5-H5)*24</f>
        <v/>
      </c>
      <c r="K5" s="31" t="n">
        <v>48.75</v>
      </c>
      <c r="L5" s="32">
        <f>J5*K5</f>
        <v/>
      </c>
      <c r="M5" s="32">
        <f>IFERROR(IF(VLOOKUP(B5,'Service Agreements'!A:M,13,FALSE)="Y",L5*0.1,0),0)</f>
        <v/>
      </c>
      <c r="N5" s="3">
        <f>IF(O5&lt;&gt;"","Paid","Unpaid")</f>
        <v/>
      </c>
      <c r="O5" s="36" t="n">
        <v>46096</v>
      </c>
      <c r="P5" s="4" t="inlineStr"/>
    </row>
    <row r="6">
      <c r="A6" s="10" t="inlineStr">
        <is>
          <t>SL-004</t>
        </is>
      </c>
      <c r="B6" s="10" t="inlineStr">
        <is>
          <t>SA-1004</t>
        </is>
      </c>
      <c r="C6" s="33" t="n">
        <v>46114</v>
      </c>
      <c r="D6" s="11">
        <f>IFERROR(VLOOKUP(B6,'Service Agreements'!A:B,2,FALSE),"")</f>
        <v/>
      </c>
      <c r="E6" s="7" t="inlineStr">
        <is>
          <t>Daniel</t>
        </is>
      </c>
      <c r="F6" s="11" t="inlineStr">
        <is>
          <t>STA overnight respite</t>
        </is>
      </c>
      <c r="G6" s="7" t="inlineStr">
        <is>
          <t>Perth</t>
        </is>
      </c>
      <c r="H6" s="35" t="n">
        <v>0.75</v>
      </c>
      <c r="I6" s="35" t="n">
        <v>0.9583333333333334</v>
      </c>
      <c r="J6" s="17">
        <f>(I6-H6)*24</f>
        <v/>
      </c>
      <c r="K6" s="31" t="n">
        <v>72</v>
      </c>
      <c r="L6" s="34">
        <f>J6*K6</f>
        <v/>
      </c>
      <c r="M6" s="34">
        <f>IFERROR(IF(VLOOKUP(B6,'Service Agreements'!A:M,13,FALSE)="Y",L6*0.1,0),0)</f>
        <v/>
      </c>
      <c r="N6" s="10">
        <f>IF(O6&lt;&gt;"","Paid","Unpaid")</f>
        <v/>
      </c>
      <c r="O6" s="36" t="n"/>
      <c r="P6" s="11" t="inlineStr"/>
    </row>
    <row r="7">
      <c r="A7" s="3" t="inlineStr">
        <is>
          <t>SL-005</t>
        </is>
      </c>
      <c r="B7" s="3" t="inlineStr">
        <is>
          <t>SA-1005</t>
        </is>
      </c>
      <c r="C7" s="30" t="n">
        <v>46132</v>
      </c>
      <c r="D7" s="4">
        <f>IFERROR(VLOOKUP(B7,'Service Agreements'!A:B,2,FALSE),"")</f>
        <v/>
      </c>
      <c r="E7" s="7" t="inlineStr">
        <is>
          <t>Emma</t>
        </is>
      </c>
      <c r="F7" s="4" t="inlineStr">
        <is>
          <t>Personal care - morning routine</t>
        </is>
      </c>
      <c r="G7" s="7" t="inlineStr">
        <is>
          <t>Adelaide</t>
        </is>
      </c>
      <c r="H7" s="35" t="n">
        <v>0.2916666666666667</v>
      </c>
      <c r="I7" s="35" t="n">
        <v>0.3958333333333333</v>
      </c>
      <c r="J7" s="15">
        <f>(I7-H7)*24</f>
        <v/>
      </c>
      <c r="K7" s="31" t="n">
        <v>62.3</v>
      </c>
      <c r="L7" s="32">
        <f>J7*K7</f>
        <v/>
      </c>
      <c r="M7" s="32">
        <f>IFERROR(IF(VLOOKUP(B7,'Service Agreements'!A:M,13,FALSE)="Y",L7*0.1,0),0)</f>
        <v/>
      </c>
      <c r="N7" s="3">
        <f>IF(O7&lt;&gt;"","Paid","Unpaid")</f>
        <v/>
      </c>
      <c r="O7" s="36" t="n">
        <v>46140</v>
      </c>
      <c r="P7" s="4" t="inlineStr"/>
    </row>
    <row r="8">
      <c r="A8" s="10" t="inlineStr">
        <is>
          <t>SL-006</t>
        </is>
      </c>
      <c r="B8" s="10" t="inlineStr">
        <is>
          <t>SA-1006</t>
        </is>
      </c>
      <c r="C8" s="33" t="n">
        <v>46150</v>
      </c>
      <c r="D8" s="11">
        <f>IFERROR(VLOOKUP(B8,'Service Agreements'!A:B,2,FALSE),"")</f>
        <v/>
      </c>
      <c r="E8" s="7" t="inlineStr">
        <is>
          <t>Lucas</t>
        </is>
      </c>
      <c r="F8" s="11" t="inlineStr">
        <is>
          <t>Transport to appointment</t>
        </is>
      </c>
      <c r="G8" s="7" t="inlineStr">
        <is>
          <t>Gold Coast</t>
        </is>
      </c>
      <c r="H8" s="35" t="n">
        <v>0.5416666666666666</v>
      </c>
      <c r="I8" s="35" t="n">
        <v>0.625</v>
      </c>
      <c r="J8" s="17">
        <f>(I8-H8)*24</f>
        <v/>
      </c>
      <c r="K8" s="31" t="n">
        <v>45</v>
      </c>
      <c r="L8" s="34">
        <f>J8*K8</f>
        <v/>
      </c>
      <c r="M8" s="34">
        <f>IFERROR(IF(VLOOKUP(B8,'Service Agreements'!A:M,13,FALSE)="Y",L8*0.1,0),0)</f>
        <v/>
      </c>
      <c r="N8" s="10">
        <f>IF(O8&lt;&gt;"","Paid","Unpaid")</f>
        <v/>
      </c>
      <c r="O8" s="36" t="n"/>
      <c r="P8" s="11" t="inlineStr"/>
    </row>
    <row r="9">
      <c r="A9" s="3" t="inlineStr">
        <is>
          <t>SL-007</t>
        </is>
      </c>
      <c r="B9" s="3" t="inlineStr">
        <is>
          <t>SA-1007</t>
        </is>
      </c>
      <c r="C9" s="30" t="n">
        <v>46164</v>
      </c>
      <c r="D9" s="4">
        <f>IFERROR(VLOOKUP(B9,'Service Agreements'!A:B,2,FALSE),"")</f>
        <v/>
      </c>
      <c r="E9" s="7" t="inlineStr">
        <is>
          <t>Sarah</t>
        </is>
      </c>
      <c r="F9" s="4" t="inlineStr">
        <is>
          <t>Therapy assistance session</t>
        </is>
      </c>
      <c r="G9" s="7" t="inlineStr">
        <is>
          <t>Canberra</t>
        </is>
      </c>
      <c r="H9" s="35" t="n">
        <v>0.4583333333333333</v>
      </c>
      <c r="I9" s="35" t="n">
        <v>0.5208333333333334</v>
      </c>
      <c r="J9" s="15">
        <f>(I9-H9)*24</f>
        <v/>
      </c>
      <c r="K9" s="31" t="n">
        <v>145</v>
      </c>
      <c r="L9" s="32">
        <f>J9*K9</f>
        <v/>
      </c>
      <c r="M9" s="32">
        <f>IFERROR(IF(VLOOKUP(B9,'Service Agreements'!A:M,13,FALSE)="Y",L9*0.1,0),0)</f>
        <v/>
      </c>
      <c r="N9" s="3">
        <f>IF(O9&lt;&gt;"","Paid","Unpaid")</f>
        <v/>
      </c>
      <c r="O9" s="36" t="n">
        <v>46174</v>
      </c>
      <c r="P9" s="4" t="inlineStr"/>
    </row>
    <row r="10">
      <c r="A10" s="10" t="inlineStr">
        <is>
          <t>SL-008</t>
        </is>
      </c>
      <c r="B10" s="10" t="inlineStr">
        <is>
          <t>SA-1008</t>
        </is>
      </c>
      <c r="C10" s="33" t="n">
        <v>46177</v>
      </c>
      <c r="D10" s="11">
        <f>IFERROR(VLOOKUP(B10,'Service Agreements'!A:B,2,FALSE),"")</f>
        <v/>
      </c>
      <c r="E10" s="7" t="inlineStr">
        <is>
          <t>Ben</t>
        </is>
      </c>
      <c r="F10" s="11" t="inlineStr">
        <is>
          <t>Behaviour support consultation</t>
        </is>
      </c>
      <c r="G10" s="7" t="inlineStr">
        <is>
          <t>Newcastle</t>
        </is>
      </c>
      <c r="H10" s="35" t="n">
        <v>0.5833333333333334</v>
      </c>
      <c r="I10" s="35" t="n">
        <v>0.6666666666666666</v>
      </c>
      <c r="J10" s="17">
        <f>(I10-H10)*24</f>
        <v/>
      </c>
      <c r="K10" s="31" t="n">
        <v>195.5</v>
      </c>
      <c r="L10" s="34">
        <f>J10*K10</f>
        <v/>
      </c>
      <c r="M10" s="34">
        <f>IFERROR(IF(VLOOKUP(B10,'Service Agreements'!A:M,13,FALSE)="Y",L10*0.1,0),0)</f>
        <v/>
      </c>
      <c r="N10" s="10">
        <f>IF(O10&lt;&gt;"","Paid","Unpaid")</f>
        <v/>
      </c>
      <c r="O10" s="36" t="n"/>
      <c r="P10" s="11" t="inlineStr"/>
    </row>
    <row r="11">
      <c r="A11" s="3" t="inlineStr">
        <is>
          <t>SL-009</t>
        </is>
      </c>
      <c r="B11" s="3" t="inlineStr">
        <is>
          <t>SA-1009</t>
        </is>
      </c>
      <c r="C11" s="30" t="n">
        <v>46191</v>
      </c>
      <c r="D11" s="4">
        <f>IFERROR(VLOOKUP(B11,'Service Agreements'!A:B,2,FALSE),"")</f>
        <v/>
      </c>
      <c r="E11" s="7" t="inlineStr">
        <is>
          <t>Chloe</t>
        </is>
      </c>
      <c r="F11" s="4" t="inlineStr">
        <is>
          <t>House cleaning service</t>
        </is>
      </c>
      <c r="G11" s="7" t="inlineStr">
        <is>
          <t>Hobart</t>
        </is>
      </c>
      <c r="H11" s="35" t="n">
        <v>0.375</v>
      </c>
      <c r="I11" s="35" t="n">
        <v>0.4583333333333333</v>
      </c>
      <c r="J11" s="15">
        <f>(I11-H11)*24</f>
        <v/>
      </c>
      <c r="K11" s="31" t="n">
        <v>42</v>
      </c>
      <c r="L11" s="32">
        <f>J11*K11</f>
        <v/>
      </c>
      <c r="M11" s="32">
        <f>IFERROR(IF(VLOOKUP(B11,'Service Agreements'!A:M,13,FALSE)="Y",L11*0.1,0),0)</f>
        <v/>
      </c>
      <c r="N11" s="3">
        <f>IF(O11&lt;&gt;"","Paid","Unpaid")</f>
        <v/>
      </c>
      <c r="O11" s="36" t="n">
        <v>46198</v>
      </c>
      <c r="P11" s="4" t="inlineStr"/>
    </row>
    <row r="12">
      <c r="A12" s="10" t="inlineStr">
        <is>
          <t>SL-010</t>
        </is>
      </c>
      <c r="B12" s="10" t="inlineStr">
        <is>
          <t>SA-1010</t>
        </is>
      </c>
      <c r="C12" s="33" t="n">
        <v>46206</v>
      </c>
      <c r="D12" s="11">
        <f>IFERROR(VLOOKUP(B12,'Service Agreements'!A:B,2,FALSE),"")</f>
        <v/>
      </c>
      <c r="E12" s="7" t="inlineStr">
        <is>
          <t>Daniel</t>
        </is>
      </c>
      <c r="F12" s="11" t="inlineStr">
        <is>
          <t>Social participation activity</t>
        </is>
      </c>
      <c r="G12" s="7" t="inlineStr">
        <is>
          <t>Wollongong</t>
        </is>
      </c>
      <c r="H12" s="35" t="n">
        <v>0.4166666666666667</v>
      </c>
      <c r="I12" s="35" t="n">
        <v>0.5416666666666666</v>
      </c>
      <c r="J12" s="17">
        <f>(I12-H12)*24</f>
        <v/>
      </c>
      <c r="K12" s="31" t="n">
        <v>58.9</v>
      </c>
      <c r="L12" s="34">
        <f>J12*K12</f>
        <v/>
      </c>
      <c r="M12" s="34">
        <f>IFERROR(IF(VLOOKUP(B12,'Service Agreements'!A:M,13,FALSE)="Y",L12*0.1,0),0)</f>
        <v/>
      </c>
      <c r="N12" s="10">
        <f>IF(O12&lt;&gt;"","Paid","Unpaid")</f>
        <v/>
      </c>
      <c r="O12" s="36" t="n"/>
      <c r="P12" s="11" t="inlineStr"/>
    </row>
  </sheetData>
  <mergeCells count="1">
    <mergeCell ref="A1:P1"/>
  </mergeCells>
  <conditionalFormatting sqref="N3:N12">
    <cfRule type="expression" priority="1" dxfId="2" stopIfTrue="1">
      <formula>N3="Unpaid"</formula>
    </cfRule>
    <cfRule type="expression" priority="2" dxfId="1" stopIfTrue="1">
      <formula>N3="Paid"</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cols>
    <col width="28" customWidth="1" min="1" max="1"/>
    <col width="16" customWidth="1" min="2" max="2"/>
    <col width="14" customWidth="1" min="3" max="3"/>
    <col width="14" customWidth="1" min="4" max="4"/>
    <col width="14" customWidth="1" min="5" max="5"/>
    <col width="14" customWidth="1" min="6" max="6"/>
    <col width="14" customWidth="1" min="7" max="7"/>
    <col width="14" customWidth="1" min="8" max="8"/>
  </cols>
  <sheetData>
    <row r="1" ht="26" customHeight="1">
      <c r="A1" s="1" t="inlineStr">
        <is>
          <t>NDIS SERVICE AGREEMENT DASHBOARD</t>
        </is>
      </c>
    </row>
    <row r="2"/>
    <row r="3">
      <c r="A3" s="18" t="inlineStr">
        <is>
          <t>KEY PERFORMANCE INDICATORS</t>
        </is>
      </c>
    </row>
    <row r="4">
      <c r="A4" s="19" t="inlineStr">
        <is>
          <t>Total Agreements</t>
        </is>
      </c>
      <c r="B4" s="10">
        <f>COUNTA('Service Agreements'!A3:A12)</f>
        <v/>
      </c>
    </row>
    <row r="5">
      <c r="A5" s="19" t="inlineStr">
        <is>
          <t>Active Agreements</t>
        </is>
      </c>
      <c r="B5" s="10">
        <f>COUNTIF('Service Agreements'!S3:S12,"Active")</f>
        <v/>
      </c>
    </row>
    <row r="6">
      <c r="A6" s="19" t="inlineStr">
        <is>
          <t>Expired Agreements</t>
        </is>
      </c>
      <c r="B6" s="10">
        <f>COUNTIF('Service Agreements'!S3:S12,"Expired")</f>
        <v/>
      </c>
    </row>
    <row r="7">
      <c r="A7" s="19" t="inlineStr">
        <is>
          <t>Total Agreed Value</t>
        </is>
      </c>
      <c r="B7" s="34">
        <f>SUM('Service Agreements'!P3:P12)</f>
        <v/>
      </c>
    </row>
    <row r="8">
      <c r="A8" s="19" t="inlineStr">
        <is>
          <t>Total Billed Value</t>
        </is>
      </c>
      <c r="B8" s="34">
        <f>SUM('Service Agreements'!Q3:Q12)</f>
        <v/>
      </c>
    </row>
    <row r="9">
      <c r="A9" s="19" t="inlineStr">
        <is>
          <t>Outstanding Balance</t>
        </is>
      </c>
      <c r="B9" s="34">
        <f>SUM('Service Agreements'!R3:R12)</f>
        <v/>
      </c>
    </row>
    <row r="10">
      <c r="A10" s="19" t="inlineStr">
        <is>
          <t>Average Hourly Rate</t>
        </is>
      </c>
      <c r="B10" s="34">
        <f>AVERAGE('Service Agreements'!L3:L12)</f>
        <v/>
      </c>
    </row>
    <row r="11">
      <c r="A11" s="19" t="inlineStr">
        <is>
          <t>% Near Expiry (&lt;=30 days)</t>
        </is>
      </c>
      <c r="B11" s="37">
        <f>IFERROR(COUNTIF('Service Agreements'!T3:T12,"&lt;=30")/COUNTA('Service Agreements'!A3:A12),0)</f>
        <v/>
      </c>
    </row>
    <row r="12"/>
    <row r="13">
      <c r="A13" s="18" t="inlineStr">
        <is>
          <t>AGREED VS BILLED BY SERVICE TYPE</t>
        </is>
      </c>
      <c r="E13" s="18" t="inlineStr">
        <is>
          <t>AGREEMENT STATUS BREAKDOWN</t>
        </is>
      </c>
    </row>
    <row r="14">
      <c r="A14" s="2" t="inlineStr">
        <is>
          <t>Service Type</t>
        </is>
      </c>
      <c r="B14" s="2" t="inlineStr">
        <is>
          <t>Total Agreed ($)</t>
        </is>
      </c>
      <c r="C14" s="2" t="inlineStr">
        <is>
          <t>Total Billed ($)</t>
        </is>
      </c>
      <c r="E14" s="21" t="inlineStr">
        <is>
          <t>Status</t>
        </is>
      </c>
      <c r="F14" s="21" t="inlineStr">
        <is>
          <t>Count</t>
        </is>
      </c>
    </row>
    <row r="15">
      <c r="A15" s="3">
        <f>'Service Agreements'!J3</f>
        <v/>
      </c>
      <c r="B15" s="32">
        <f>'Service Agreements'!P3</f>
        <v/>
      </c>
      <c r="C15" s="32">
        <f>'Service Agreements'!Q3</f>
        <v/>
      </c>
      <c r="E15" s="22" t="inlineStr">
        <is>
          <t>Active</t>
        </is>
      </c>
      <c r="F15" s="22">
        <f>COUNTIF('Service Agreements'!S3:S12,"Active")</f>
        <v/>
      </c>
    </row>
    <row r="16">
      <c r="A16" s="10">
        <f>'Service Agreements'!J4</f>
        <v/>
      </c>
      <c r="B16" s="34">
        <f>'Service Agreements'!P4</f>
        <v/>
      </c>
      <c r="C16" s="34">
        <f>'Service Agreements'!Q4</f>
        <v/>
      </c>
      <c r="E16" s="23" t="inlineStr">
        <is>
          <t>Pending</t>
        </is>
      </c>
      <c r="F16" s="23">
        <f>COUNTIF('Service Agreements'!S3:S12,"Pending")</f>
        <v/>
      </c>
    </row>
    <row r="17">
      <c r="A17" s="3">
        <f>'Service Agreements'!J5</f>
        <v/>
      </c>
      <c r="B17" s="32">
        <f>'Service Agreements'!P5</f>
        <v/>
      </c>
      <c r="C17" s="32">
        <f>'Service Agreements'!Q5</f>
        <v/>
      </c>
      <c r="E17" s="22" t="inlineStr">
        <is>
          <t>Expired</t>
        </is>
      </c>
      <c r="F17" s="22">
        <f>COUNTIF('Service Agreements'!S3:S12,"Expired")</f>
        <v/>
      </c>
    </row>
    <row r="18">
      <c r="A18" s="10">
        <f>'Service Agreements'!J6</f>
        <v/>
      </c>
      <c r="B18" s="34">
        <f>'Service Agreements'!P6</f>
        <v/>
      </c>
      <c r="C18" s="34">
        <f>'Service Agreements'!Q6</f>
        <v/>
      </c>
    </row>
    <row r="19">
      <c r="A19" s="3">
        <f>'Service Agreements'!J7</f>
        <v/>
      </c>
      <c r="B19" s="32">
        <f>'Service Agreements'!P7</f>
        <v/>
      </c>
      <c r="C19" s="32">
        <f>'Service Agreements'!Q7</f>
        <v/>
      </c>
    </row>
    <row r="20">
      <c r="A20" s="10">
        <f>'Service Agreements'!J8</f>
        <v/>
      </c>
      <c r="B20" s="34">
        <f>'Service Agreements'!P8</f>
        <v/>
      </c>
      <c r="C20" s="34">
        <f>'Service Agreements'!Q8</f>
        <v/>
      </c>
    </row>
    <row r="21">
      <c r="A21" s="3">
        <f>'Service Agreements'!J9</f>
        <v/>
      </c>
      <c r="B21" s="32">
        <f>'Service Agreements'!P9</f>
        <v/>
      </c>
      <c r="C21" s="32">
        <f>'Service Agreements'!Q9</f>
        <v/>
      </c>
    </row>
    <row r="22">
      <c r="A22" s="10">
        <f>'Service Agreements'!J10</f>
        <v/>
      </c>
      <c r="B22" s="34">
        <f>'Service Agreements'!P10</f>
        <v/>
      </c>
      <c r="C22" s="34">
        <f>'Service Agreements'!Q10</f>
        <v/>
      </c>
    </row>
    <row r="23">
      <c r="A23" s="3">
        <f>'Service Agreements'!J11</f>
        <v/>
      </c>
      <c r="B23" s="32">
        <f>'Service Agreements'!P11</f>
        <v/>
      </c>
      <c r="C23" s="32">
        <f>'Service Agreements'!Q11</f>
        <v/>
      </c>
    </row>
    <row r="24">
      <c r="A24" s="10">
        <f>'Service Agreements'!J12</f>
        <v/>
      </c>
      <c r="B24" s="34">
        <f>'Service Agreements'!P12</f>
        <v/>
      </c>
      <c r="C24" s="34">
        <f>'Service Agreements'!Q12</f>
        <v/>
      </c>
    </row>
    <row r="25"/>
    <row r="26"/>
    <row r="27">
      <c r="A27" s="18" t="inlineStr">
        <is>
          <t>MONTHLY BILLED AMOUNTS (SERVICE LOG)</t>
        </is>
      </c>
    </row>
    <row r="28">
      <c r="A28" s="21" t="inlineStr">
        <is>
          <t>Month</t>
        </is>
      </c>
      <c r="B28" s="21" t="inlineStr">
        <is>
          <t>Total Billed ($)</t>
        </is>
      </c>
    </row>
    <row r="29">
      <c r="A29" s="22" t="inlineStr">
        <is>
          <t>Jan-26</t>
        </is>
      </c>
      <c r="B29" s="38">
        <f>SUMIFS('Service Log'!L3:L12,'Service Log'!C3:C12,"&gt;="&amp;DATE(2026,1,1),'Service Log'!C3:C12,"&lt;="&amp;DATE(2026,1,28))</f>
        <v/>
      </c>
    </row>
    <row r="30">
      <c r="A30" s="23" t="inlineStr">
        <is>
          <t>Feb-26</t>
        </is>
      </c>
      <c r="B30" s="39">
        <f>SUMIFS('Service Log'!L3:L12,'Service Log'!C3:C12,"&gt;="&amp;DATE(2026,2,1),'Service Log'!C3:C12,"&lt;="&amp;DATE(2026,2,28))</f>
        <v/>
      </c>
    </row>
    <row r="31">
      <c r="A31" s="22" t="inlineStr">
        <is>
          <t>Mar-26</t>
        </is>
      </c>
      <c r="B31" s="38">
        <f>SUMIFS('Service Log'!L3:L12,'Service Log'!C3:C12,"&gt;="&amp;DATE(2026,3,1),'Service Log'!C3:C12,"&lt;="&amp;DATE(2026,3,28))</f>
        <v/>
      </c>
    </row>
    <row r="32">
      <c r="A32" s="23" t="inlineStr">
        <is>
          <t>Apr-26</t>
        </is>
      </c>
      <c r="B32" s="39">
        <f>SUMIFS('Service Log'!L3:L12,'Service Log'!C3:C12,"&gt;="&amp;DATE(2026,4,1),'Service Log'!C3:C12,"&lt;="&amp;DATE(2026,4,28))</f>
        <v/>
      </c>
    </row>
    <row r="33">
      <c r="A33" s="22" t="inlineStr">
        <is>
          <t>May-26</t>
        </is>
      </c>
      <c r="B33" s="38">
        <f>SUMIFS('Service Log'!L3:L12,'Service Log'!C3:C12,"&gt;="&amp;DATE(2026,5,1),'Service Log'!C3:C12,"&lt;="&amp;DATE(2026,5,28))</f>
        <v/>
      </c>
    </row>
    <row r="34">
      <c r="A34" s="23" t="inlineStr">
        <is>
          <t>Jun-26</t>
        </is>
      </c>
      <c r="B34" s="39">
        <f>SUMIFS('Service Log'!L3:L12,'Service Log'!C3:C12,"&gt;="&amp;DATE(2026,6,1),'Service Log'!C3:C12,"&lt;="&amp;DATE(2026,6,28))</f>
        <v/>
      </c>
    </row>
    <row r="35">
      <c r="A35" s="22" t="inlineStr">
        <is>
          <t>Jul-26</t>
        </is>
      </c>
      <c r="B35" s="38">
        <f>SUMIFS('Service Log'!L3:L12,'Service Log'!C3:C12,"&gt;="&amp;DATE(2026,7,1),'Service Log'!C3:C12,"&lt;="&amp;DATE(2026,7,28))</f>
        <v/>
      </c>
    </row>
  </sheetData>
  <mergeCells count="1">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8" customWidth="1" min="1" max="1"/>
    <col width="95" customWidth="1" min="2" max="2"/>
  </cols>
  <sheetData>
    <row r="1" ht="26" customHeight="1">
      <c r="A1" s="1" t="inlineStr">
        <is>
          <t>HOW TO USE THIS NDIS SERVICE AGREEMENT TEMPLATE</t>
        </is>
      </c>
    </row>
    <row r="2"/>
    <row r="3">
      <c r="A3" s="21" t="inlineStr">
        <is>
          <t>Topic</t>
        </is>
      </c>
      <c r="B3" s="21" t="inlineStr">
        <is>
          <t>Details</t>
        </is>
      </c>
    </row>
    <row r="4" ht="45" customHeight="1">
      <c r="A4" s="26" t="inlineStr">
        <is>
          <t>Service Agreements sheet</t>
        </is>
      </c>
      <c r="B4" s="27" t="inlineStr">
        <is>
          <t>Enter one row per participant service agreement. Pale yellow cells (Hourly Rate, GST flag, Hours Agreed, Hours Delivered) are editable inputs. Totals, balance, status and days until expiry calculate automatically.</t>
        </is>
      </c>
    </row>
    <row r="5" ht="45" customHeight="1">
      <c r="A5" s="28" t="inlineStr">
        <is>
          <t>Agreement Status logic</t>
        </is>
      </c>
      <c r="B5" s="29" t="inlineStr">
        <is>
          <t>Status shows 'Expired' if today's date is after the Agreement End Date, 'Active' if within the agreement period, and 'Pending' if the start date is in the future.</t>
        </is>
      </c>
    </row>
    <row r="6" ht="45" customHeight="1">
      <c r="A6" s="26" t="inlineStr">
        <is>
          <t>Days Until Expiry</t>
        </is>
      </c>
      <c r="B6" s="27" t="inlineStr">
        <is>
          <t>Highlighted orange when 30 days or fewer remain, so you can proactively contact participants for renewal.</t>
        </is>
      </c>
    </row>
    <row r="7" ht="45" customHeight="1">
      <c r="A7" s="28" t="inlineStr">
        <is>
          <t>Service Log sheet</t>
        </is>
      </c>
      <c r="B7" s="29" t="inlineStr">
        <is>
          <t>Record each individual service session delivered against an agreement. Enter the Agreement ID, Worker, Start/End Time and Unit Rate. Hours, Line Total, GST Amount and Invoice Status calculate automatically.</t>
        </is>
      </c>
    </row>
    <row r="8" ht="45" customHeight="1">
      <c r="A8" s="26" t="inlineStr">
        <is>
          <t>GST treatment under NDIS</t>
        </is>
      </c>
      <c r="B8" s="27" t="inlineStr">
        <is>
          <t>Most reasonable and necessary NDIS supports are GST-free under the A New Tax System (Goods and Services Tax) Act 1999, section 38-38, when the participant has an NDIS plan and a written service agreement. Some supports (e.g. certain assistive technology, home modifications or general services) may still attract GST depending on circumstances - check the ATO and NDIS Quality and Safeguards Commission guidance.</t>
        </is>
      </c>
    </row>
    <row r="9" ht="45" customHeight="1">
      <c r="A9" s="28" t="inlineStr">
        <is>
          <t>GST Applicable? (Y/N) column</t>
        </is>
      </c>
      <c r="B9" s="29" t="inlineStr">
        <is>
          <t>Set to 'Y' only where GST genuinely applies to that support item. This flag drives the GST Amount formula in the Service Log sheet via a lookup to the Service Agreements sheet.</t>
        </is>
      </c>
    </row>
    <row r="10" ht="45" customHeight="1">
      <c r="A10" s="26" t="inlineStr">
        <is>
          <t>Dashboard sheet</t>
        </is>
      </c>
      <c r="B10" s="27" t="inlineStr">
        <is>
          <t>Provides at-a-glance KPIs (agreement counts, agreed vs billed values, average hourly rate, near-expiry percentage) plus charts for service type comparison, status breakdown and monthly billing trend.</t>
        </is>
      </c>
    </row>
    <row r="11" ht="45" customHeight="1">
      <c r="A11" s="28" t="inlineStr">
        <is>
          <t>Date format</t>
        </is>
      </c>
      <c r="B11" s="29" t="inlineStr">
        <is>
          <t>All dates in this workbook use the Australian format DD/MM/YYYY.</t>
        </is>
      </c>
    </row>
    <row r="12" ht="45" customHeight="1">
      <c r="A12" s="26" t="inlineStr">
        <is>
          <t>Financial year reminder</t>
        </is>
      </c>
      <c r="B12" s="27" t="inlineStr">
        <is>
          <t>The Australian financial year runs from 1 July to 30 June. Use this when reconciling billed amounts for BAS and income tax reporting purposes.</t>
        </is>
      </c>
    </row>
    <row r="13" ht="45" customHeight="1">
      <c r="A13" s="28" t="inlineStr">
        <is>
          <t>Data entry tips</t>
        </is>
      </c>
      <c r="B13" s="29" t="inlineStr">
        <is>
          <t>Keep Agreement IDs unique and consistent between the Service Agreements and Service Log sheets so that VLOOKUP formulas resolve correctly. Avoid deleting header rows or inserting blank rows within data ranges.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2026-07-13T16:13:03Z</dcterms:created>
  <dcterms:modified xmlns:dcterms="http://purl.org/dc/terms/" xmlns:xsi="http://www.w3.org/2001/XMLSchema-instance" xsi:type="dcterms:W3CDTF">2026-07-13T16:13:03Z</dcterms:modified>
</cp:coreProperties>
</file>