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Vehicle Comparisons" sheetId="2" state="visible" r:id="rId2"/>
    <sheet xmlns:r="http://schemas.openxmlformats.org/officeDocument/2006/relationships" name="Summary Dashboard" sheetId="3" state="visible" r:id="rId3"/>
    <sheet xmlns:r="http://schemas.openxmlformats.org/officeDocument/2006/relationships" name="Assump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4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color rgb="0016A34A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06A4E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164" fontId="4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 wrapText="1"/>
    </xf>
    <xf numFmtId="3" fontId="4" fillId="6" borderId="1" applyAlignment="1" pivotButton="0" quotePrefix="0" xfId="0">
      <alignment horizontal="center" vertical="center" wrapText="1"/>
    </xf>
    <xf numFmtId="10" fontId="4" fillId="6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right" vertical="center"/>
    </xf>
    <xf numFmtId="164" fontId="4" fillId="6" borderId="1" applyAlignment="1" pivotButton="0" quotePrefix="0" xfId="0">
      <alignment horizontal="right" vertical="center"/>
    </xf>
    <xf numFmtId="164" fontId="7" fillId="5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right" vertical="center"/>
    </xf>
    <xf numFmtId="164" fontId="7" fillId="4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right" vertical="center"/>
    </xf>
    <xf numFmtId="164" fontId="5" fillId="3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3" fontId="7" fillId="4" borderId="1" applyAlignment="1" pivotButton="0" quotePrefix="0" xfId="0">
      <alignment horizontal="right" vertical="center"/>
    </xf>
    <xf numFmtId="0" fontId="5" fillId="3" borderId="1" pivotButton="0" quotePrefix="0" xfId="0"/>
    <xf numFmtId="0" fontId="0" fillId="3" borderId="1" pivotButton="0" quotePrefix="0" xfId="0"/>
    <xf numFmtId="0" fontId="3" fillId="0" borderId="0" pivotButton="0" quotePrefix="0" xfId="0"/>
    <xf numFmtId="0" fontId="4" fillId="0" borderId="0" pivotButton="0" quotePrefix="0" xfId="0"/>
    <xf numFmtId="10" fontId="4" fillId="6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Cost Over Lease by Vehicle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Dashboard'!D14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'Summary Dashboard'!$A$15:$A$24</f>
            </numRef>
          </cat>
          <val>
            <numRef>
              <f>'Summary Dashboard'!$D$15:$D$24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Vehicle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Total Cost (AUD)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Cost Comparison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'Summary Dashboard'!C14</f>
            </strRef>
          </tx>
          <spPr>
            <a:solidFill xmlns:a="http://schemas.openxmlformats.org/drawingml/2006/main">
              <a:srgbClr val="006A4E"/>
            </a:solidFill>
            <a:ln xmlns:a="http://schemas.openxmlformats.org/drawingml/2006/main">
              <a:prstDash val="solid"/>
            </a:ln>
          </spPr>
          <cat>
            <numRef>
              <f>'Summary Dashboard'!$A$15:$A$24</f>
            </numRef>
          </cat>
          <val>
            <numRef>
              <f>'Summary Dashboard'!$C$15:$C$24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Monthly Cost (AUD)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Vehicle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FBT Exempt vs Taxable Options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Dashboard'!H26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 Dashboard'!$G$27:$G$28</f>
            </numRef>
          </cat>
          <val>
            <numRef>
              <f>'Summary Dashboard'!$H$27:$H$28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25</row>
      <rowOff>0</rowOff>
    </from>
    <ext cx="792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10</col>
      <colOff>0</colOff>
      <row>25</row>
      <rowOff>0</rowOff>
    </from>
    <ext cx="576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 ht="36" customHeight="1">
      <c r="A1" s="1" t="inlineStr">
        <is>
          <t>Novated Lease Comparison Template — Instructions</t>
        </is>
      </c>
    </row>
    <row r="2" ht="30" customHeight="1">
      <c r="A2" s="2" t="inlineStr">
        <is>
          <t>WHAT IS A NOVATED LEASE?</t>
        </is>
      </c>
      <c r="B2" s="2" t="inlineStr"/>
    </row>
    <row r="3" ht="30" customHeight="1">
      <c r="A3" s="3" t="inlineStr">
        <is>
          <t>Definition</t>
        </is>
      </c>
      <c r="B3" s="3" t="inlineStr">
        <is>
          <t>A novated lease is a three-way agreement between an employee, employer, and a finance company. The employer makes lease payments from the employee's pre-tax salary, reducing taxable income and potentially saving on income tax and GST.</t>
        </is>
      </c>
    </row>
    <row r="4" ht="30" customHeight="1">
      <c r="A4" s="4" t="inlineStr">
        <is>
          <t>ATO Compliance</t>
        </is>
      </c>
      <c r="B4" s="4" t="inlineStr">
        <is>
          <t>All novated leases must comply with the ATO's FBT rules. EVs and PHEVs (under the LMITO threshold) may be FBT-exempt under the Treasury Laws Amendment (Electric Car Discount) Act 2022.</t>
        </is>
      </c>
    </row>
    <row r="5" ht="30" customHeight="1">
      <c r="A5" s="3" t="inlineStr">
        <is>
          <t>GST Savings</t>
        </is>
      </c>
      <c r="B5" s="3" t="inlineStr">
        <is>
          <t>Employers can claim GST credits on the vehicle purchase and running costs (where registered for GST), effectively saving the employee 1/11th of those costs.</t>
        </is>
      </c>
    </row>
    <row r="6" ht="30" customHeight="1">
      <c r="A6" s="4" t="inlineStr"/>
      <c r="B6" s="4" t="inlineStr"/>
    </row>
    <row r="7" ht="30" customHeight="1">
      <c r="A7" s="2" t="inlineStr">
        <is>
          <t>INPUTS REQUIRED</t>
        </is>
      </c>
      <c r="B7" s="2" t="inlineStr"/>
    </row>
    <row r="8" ht="30" customHeight="1">
      <c r="A8" s="4" t="inlineStr">
        <is>
          <t>Employee Salary</t>
        </is>
      </c>
      <c r="B8" s="4" t="inlineStr">
        <is>
          <t>Enter annual pre-tax salary in AUD on the Vehicle Comparisons sheet.</t>
        </is>
      </c>
    </row>
    <row r="9" ht="30" customHeight="1">
      <c r="A9" s="3" t="inlineStr">
        <is>
          <t>Purchase Price</t>
        </is>
      </c>
      <c r="B9" s="3" t="inlineStr">
        <is>
          <t>GST-inclusive vehicle price in AUD.</t>
        </is>
      </c>
    </row>
    <row r="10" ht="30" customHeight="1">
      <c r="A10" s="4" t="inlineStr">
        <is>
          <t>Lease Term</t>
        </is>
      </c>
      <c r="B10" s="4" t="inlineStr">
        <is>
          <t>Typically 1–5 years. Residual value is set by ATO guidelines.</t>
        </is>
      </c>
    </row>
    <row r="11" ht="30" customHeight="1">
      <c r="A11" s="3" t="inlineStr">
        <is>
          <t>Residual Value</t>
        </is>
      </c>
      <c r="B11" s="3" t="inlineStr">
        <is>
          <t>The balloon payment at lease end. Set by ATO (% of purchase price by term).</t>
        </is>
      </c>
    </row>
    <row r="12" ht="30" customHeight="1">
      <c r="A12" s="4" t="inlineStr">
        <is>
          <t>Annual KM</t>
        </is>
      </c>
      <c r="B12" s="4" t="inlineStr">
        <is>
          <t>Estimated kilometres driven per year — affects residual and FBT.</t>
        </is>
      </c>
    </row>
    <row r="13" ht="30" customHeight="1">
      <c r="A13" s="3" t="inlineStr">
        <is>
          <t>Interest Rate</t>
        </is>
      </c>
      <c r="B13" s="3" t="inlineStr">
        <is>
          <t>Indicative interest rate % p.a. used in PMT calculation.</t>
        </is>
      </c>
    </row>
    <row r="14" ht="30" customHeight="1">
      <c r="A14" s="4" t="inlineStr">
        <is>
          <t>Running Costs</t>
        </is>
      </c>
      <c r="B14" s="4" t="inlineStr">
        <is>
          <t>Annual rego, insurance, servicing, tyres, and fuel/EV charging (AUD).</t>
        </is>
      </c>
    </row>
    <row r="15" ht="30" customHeight="1">
      <c r="A15" s="3" t="inlineStr">
        <is>
          <t>FBT Assumption</t>
        </is>
      </c>
      <c r="B15" s="3" t="inlineStr">
        <is>
          <t>Y = FBT exempt (eligible EV/PHEV), N = standard FBT applies.</t>
        </is>
      </c>
    </row>
    <row r="16" ht="30" customHeight="1">
      <c r="A16" s="4" t="inlineStr"/>
      <c r="B16" s="4" t="inlineStr"/>
    </row>
    <row r="17" ht="30" customHeight="1">
      <c r="A17" s="2" t="inlineStr">
        <is>
          <t>ASSUMPTIONS &amp; RATES</t>
        </is>
      </c>
      <c r="B17" s="2" t="inlineStr"/>
    </row>
    <row r="18" ht="30" customHeight="1">
      <c r="A18" s="4" t="inlineStr">
        <is>
          <t>Marginal Tax Rate</t>
        </is>
      </c>
      <c r="B18" s="4" t="inlineStr">
        <is>
          <t>Set on the Assumptions sheet (default 32.5% for $45,001–$135,000 bracket).</t>
        </is>
      </c>
    </row>
    <row r="19" ht="30" customHeight="1">
      <c r="A19" s="3" t="inlineStr">
        <is>
          <t>GST Rate</t>
        </is>
      </c>
      <c r="B19" s="3" t="inlineStr">
        <is>
          <t>10% (standard Australian GST rate).</t>
        </is>
      </c>
    </row>
    <row r="20" ht="30" customHeight="1">
      <c r="A20" s="4" t="inlineStr">
        <is>
          <t>FBT Rate</t>
        </is>
      </c>
      <c r="B20" s="4" t="inlineStr">
        <is>
          <t>47% (current FBT rate, inclusive of Medicare levy — 2026 FBT year).</t>
        </is>
      </c>
    </row>
    <row r="21" ht="30" customHeight="1">
      <c r="A21" s="3" t="inlineStr">
        <is>
          <t>Residual %</t>
        </is>
      </c>
      <c r="B21" s="3" t="inlineStr">
        <is>
          <t>ATO-prescribed: 5yr=28.13%, 4yr=37.50%, 3yr=46.88% of original price.</t>
        </is>
      </c>
    </row>
    <row r="22" ht="30" customHeight="1">
      <c r="A22" s="4" t="inlineStr"/>
      <c r="B22" s="4" t="inlineStr"/>
    </row>
    <row r="23" ht="30" customHeight="1">
      <c r="A23" s="2" t="inlineStr">
        <is>
          <t>COLOUR KEY</t>
        </is>
      </c>
      <c r="B23" s="2" t="inlineStr"/>
    </row>
    <row r="24" ht="30" customHeight="1">
      <c r="A24" s="4" t="inlineStr">
        <is>
          <t>Input Cells</t>
        </is>
      </c>
      <c r="B24" s="4" t="inlineStr">
        <is>
          <t>Pale yellow (#FFFBEB) — these cells are user-editable.</t>
        </is>
      </c>
    </row>
    <row r="25" ht="30" customHeight="1">
      <c r="A25" s="3" t="inlineStr">
        <is>
          <t>Output/Calculated</t>
        </is>
      </c>
      <c r="B25" s="3" t="inlineStr">
        <is>
          <t>White background — do not manually edit formula cells.</t>
        </is>
      </c>
    </row>
    <row r="26" ht="30" customHeight="1">
      <c r="A26" s="4" t="inlineStr">
        <is>
          <t>Positive Values</t>
        </is>
      </c>
      <c r="B26" s="4" t="inlineStr">
        <is>
          <t>Green text (#16A34A) indicates favourable/savings figures.</t>
        </is>
      </c>
    </row>
    <row r="27" ht="30" customHeight="1">
      <c r="A27" s="3" t="inlineStr">
        <is>
          <t>Alerts/Negatives</t>
        </is>
      </c>
      <c r="B27" s="3" t="inlineStr">
        <is>
          <t>Red text (#DC2626) indicates costs or items requiring attention.</t>
        </is>
      </c>
    </row>
    <row r="28" ht="30" customHeight="1">
      <c r="A28" s="4" t="inlineStr"/>
      <c r="B28" s="4" t="inlineStr"/>
    </row>
    <row r="29" ht="30" customHeight="1">
      <c r="A29" s="2" t="inlineStr">
        <is>
          <t>SHEETS OVERVIEW</t>
        </is>
      </c>
      <c r="B29" s="2" t="inlineStr"/>
    </row>
    <row r="30" ht="30" customHeight="1">
      <c r="A30" s="4" t="inlineStr">
        <is>
          <t>Vehicle Comparisons</t>
        </is>
      </c>
      <c r="B30" s="4" t="inlineStr">
        <is>
          <t>Main data table with 10 example leases. Add or edit rows as needed.</t>
        </is>
      </c>
    </row>
    <row r="31" ht="30" customHeight="1">
      <c r="A31" s="3" t="inlineStr">
        <is>
          <t>Summary Dashboard</t>
        </is>
      </c>
      <c r="B31" s="3" t="inlineStr">
        <is>
          <t>KPI summary and charts comparing all lease options at a glance.</t>
        </is>
      </c>
    </row>
    <row r="32" ht="30" customHeight="1">
      <c r="A32" s="4" t="inlineStr">
        <is>
          <t>Assumptions</t>
        </is>
      </c>
      <c r="B32" s="4" t="inlineStr">
        <is>
          <t>Centralised assumption inputs — change values here to update calculations.</t>
        </is>
      </c>
    </row>
    <row r="33" ht="30" customHeight="1">
      <c r="A33" s="3" t="inlineStr">
        <is>
          <t>Instructions</t>
        </is>
      </c>
      <c r="B33" s="3" t="inlineStr">
        <is>
          <t>This sheet. Guidance and context only — no data entry required here.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6" customWidth="1" min="3" max="3"/>
    <col width="16" customWidth="1" min="4" max="4"/>
    <col width="20" customWidth="1" min="5" max="5"/>
    <col width="12" customWidth="1" min="6" max="6"/>
    <col width="20" customWidth="1" min="7" max="7"/>
    <col width="14" customWidth="1" min="8" max="8"/>
    <col width="12" customWidth="1" min="9" max="9"/>
    <col width="20" customWidth="1" min="10" max="10"/>
    <col width="14" customWidth="1" min="11" max="11"/>
    <col width="24" customWidth="1" min="12" max="12"/>
    <col width="24" customWidth="1" min="13" max="13"/>
    <col width="22" customWidth="1" min="14" max="14"/>
    <col width="22" customWidth="1" min="15" max="15"/>
    <col width="18" customWidth="1" min="16" max="16"/>
    <col width="12" customWidth="1" min="17" max="17"/>
    <col width="22" customWidth="1" min="18" max="18"/>
    <col width="24" customWidth="1" min="19" max="19"/>
    <col width="30" customWidth="1" min="20" max="20"/>
  </cols>
  <sheetData>
    <row r="1" ht="40" customHeight="1">
      <c r="A1" s="5" t="inlineStr">
        <is>
          <t>Vehicle ID</t>
        </is>
      </c>
      <c r="B1" s="5" t="inlineStr">
        <is>
          <t>Employee Name</t>
        </is>
      </c>
      <c r="C1" s="5" t="inlineStr">
        <is>
          <t>City</t>
        </is>
      </c>
      <c r="D1" s="5" t="inlineStr">
        <is>
          <t>Vehicle Make</t>
        </is>
      </c>
      <c r="E1" s="5" t="inlineStr">
        <is>
          <t>Vehicle Model</t>
        </is>
      </c>
      <c r="F1" s="5" t="inlineStr">
        <is>
          <t>Fuel Type</t>
        </is>
      </c>
      <c r="G1" s="5" t="inlineStr">
        <is>
          <t>Purchase Price (AUD)</t>
        </is>
      </c>
      <c r="H1" s="5" t="inlineStr">
        <is>
          <t>Lease Term (Yrs)</t>
        </is>
      </c>
      <c r="I1" s="5" t="inlineStr">
        <is>
          <t>Annual KM</t>
        </is>
      </c>
      <c r="J1" s="5" t="inlineStr">
        <is>
          <t>Residual Value (AUD)</t>
        </is>
      </c>
      <c r="K1" s="5" t="inlineStr">
        <is>
          <t>Interest Rate %</t>
        </is>
      </c>
      <c r="L1" s="5" t="inlineStr">
        <is>
          <t>Monthly Lease Repayment (AUD)</t>
        </is>
      </c>
      <c r="M1" s="5" t="inlineStr">
        <is>
          <t>Monthly Running Costs (AUD)</t>
        </is>
      </c>
      <c r="N1" s="5" t="inlineStr">
        <is>
          <t>Pre-tax Deduction (AUD)</t>
        </is>
      </c>
      <c r="O1" s="5" t="inlineStr">
        <is>
          <t>After-tax Deduction (AUD)</t>
        </is>
      </c>
      <c r="P1" s="5" t="inlineStr">
        <is>
          <t>GST Savings (AUD)</t>
        </is>
      </c>
      <c r="Q1" s="5" t="inlineStr">
        <is>
          <t>FBT Exempt?</t>
        </is>
      </c>
      <c r="R1" s="5" t="inlineStr">
        <is>
          <t>Total Monthly Cost (AUD)</t>
        </is>
      </c>
      <c r="S1" s="5" t="inlineStr">
        <is>
          <t>Total Cost Over Lease (AUD)</t>
        </is>
      </c>
      <c r="T1" s="5" t="inlineStr">
        <is>
          <t>Notes</t>
        </is>
      </c>
    </row>
    <row r="2" ht="20" customHeight="1">
      <c r="A2" s="6" t="inlineStr">
        <is>
          <t>NL-001</t>
        </is>
      </c>
      <c r="B2" s="4" t="inlineStr">
        <is>
          <t>Jack Thompson</t>
        </is>
      </c>
      <c r="C2" s="4" t="inlineStr">
        <is>
          <t>Sydney</t>
        </is>
      </c>
      <c r="D2" s="4" t="inlineStr">
        <is>
          <t>Toyota</t>
        </is>
      </c>
      <c r="E2" s="4" t="inlineStr">
        <is>
          <t>Corolla Hybrid</t>
        </is>
      </c>
      <c r="F2" s="4" t="inlineStr">
        <is>
          <t>Hybrid</t>
        </is>
      </c>
      <c r="G2" s="7" t="n">
        <v>38990</v>
      </c>
      <c r="H2" s="8" t="n">
        <v>3</v>
      </c>
      <c r="I2" s="9" t="n">
        <v>15000</v>
      </c>
      <c r="J2" s="7" t="n">
        <v>18278.512</v>
      </c>
      <c r="K2" s="10" t="n">
        <v>0.0699</v>
      </c>
      <c r="L2" s="11">
        <f>IFERROR(PMT(K2/12,H2*12,-(G2-J2)),0)</f>
        <v/>
      </c>
      <c r="M2" s="12" t="n">
        <v>533.3333333333334</v>
      </c>
      <c r="N2" s="11">
        <f>L2+M2</f>
        <v/>
      </c>
      <c r="O2" s="11">
        <f>IF(Q2="Y",0,N2*Assumptions!B1)</f>
        <v/>
      </c>
      <c r="P2" s="13">
        <f>IFERROR(G2/11,0)</f>
        <v/>
      </c>
      <c r="Q2" s="8" t="inlineStr">
        <is>
          <t>Y</t>
        </is>
      </c>
      <c r="R2" s="11">
        <f>N2+O2</f>
        <v/>
      </c>
      <c r="S2" s="11">
        <f>R2*H2*12</f>
        <v/>
      </c>
      <c r="T2" s="4" t="inlineStr">
        <is>
          <t>Excellent fuel economy</t>
        </is>
      </c>
    </row>
    <row r="3" ht="20" customHeight="1">
      <c r="A3" s="14" t="inlineStr">
        <is>
          <t>NL-002</t>
        </is>
      </c>
      <c r="B3" s="3" t="inlineStr">
        <is>
          <t>Olivia Nguyen</t>
        </is>
      </c>
      <c r="C3" s="3" t="inlineStr">
        <is>
          <t>Melbourne</t>
        </is>
      </c>
      <c r="D3" s="3" t="inlineStr">
        <is>
          <t>Tesla</t>
        </is>
      </c>
      <c r="E3" s="3" t="inlineStr">
        <is>
          <t>Model 3</t>
        </is>
      </c>
      <c r="F3" s="3" t="inlineStr">
        <is>
          <t>EV</t>
        </is>
      </c>
      <c r="G3" s="7" t="n">
        <v>64990</v>
      </c>
      <c r="H3" s="8" t="n">
        <v>4</v>
      </c>
      <c r="I3" s="9" t="n">
        <v>20000</v>
      </c>
      <c r="J3" s="7" t="n">
        <v>24371.25</v>
      </c>
      <c r="K3" s="10" t="n">
        <v>0.0699</v>
      </c>
      <c r="L3" s="15">
        <f>IFERROR(PMT(K3/12,H3*12,-(G3-J3)),0)</f>
        <v/>
      </c>
      <c r="M3" s="12" t="n">
        <v>358.3333333333333</v>
      </c>
      <c r="N3" s="15">
        <f>L3+M3</f>
        <v/>
      </c>
      <c r="O3" s="15">
        <f>IF(Q3="Y",0,N3*Assumptions!B1)</f>
        <v/>
      </c>
      <c r="P3" s="16">
        <f>IFERROR(G3/11,0)</f>
        <v/>
      </c>
      <c r="Q3" s="8" t="inlineStr">
        <is>
          <t>Y</t>
        </is>
      </c>
      <c r="R3" s="15">
        <f>N3+O3</f>
        <v/>
      </c>
      <c r="S3" s="15">
        <f>R3*H3*12</f>
        <v/>
      </c>
      <c r="T3" s="3" t="inlineStr">
        <is>
          <t>FBT exempt — eligible EV</t>
        </is>
      </c>
    </row>
    <row r="4" ht="20" customHeight="1">
      <c r="A4" s="6" t="inlineStr">
        <is>
          <t>NL-003</t>
        </is>
      </c>
      <c r="B4" s="4" t="inlineStr">
        <is>
          <t>Liam Smith</t>
        </is>
      </c>
      <c r="C4" s="4" t="inlineStr">
        <is>
          <t>Brisbane</t>
        </is>
      </c>
      <c r="D4" s="4" t="inlineStr">
        <is>
          <t>Mazda</t>
        </is>
      </c>
      <c r="E4" s="4" t="inlineStr">
        <is>
          <t>CX-5</t>
        </is>
      </c>
      <c r="F4" s="4" t="inlineStr">
        <is>
          <t>Petrol</t>
        </is>
      </c>
      <c r="G4" s="7" t="n">
        <v>45990</v>
      </c>
      <c r="H4" s="8" t="n">
        <v>3</v>
      </c>
      <c r="I4" s="9" t="n">
        <v>18000</v>
      </c>
      <c r="J4" s="7" t="n">
        <v>21560.112</v>
      </c>
      <c r="K4" s="10" t="n">
        <v>0.0699</v>
      </c>
      <c r="L4" s="11">
        <f>IFERROR(PMT(K4/12,H4*12,-(G4-J4)),0)</f>
        <v/>
      </c>
      <c r="M4" s="12" t="n">
        <v>608.3333333333334</v>
      </c>
      <c r="N4" s="11">
        <f>L4+M4</f>
        <v/>
      </c>
      <c r="O4" s="11">
        <f>IF(Q4="Y",0,N4*Assumptions!B1)</f>
        <v/>
      </c>
      <c r="P4" s="13">
        <f>IFERROR(G4/11,0)</f>
        <v/>
      </c>
      <c r="Q4" s="8" t="inlineStr">
        <is>
          <t>N</t>
        </is>
      </c>
      <c r="R4" s="11">
        <f>N4+O4</f>
        <v/>
      </c>
      <c r="S4" s="11">
        <f>R4*H4*12</f>
        <v/>
      </c>
      <c r="T4" s="4" t="inlineStr">
        <is>
          <t>Popular family SUV</t>
        </is>
      </c>
    </row>
    <row r="5" ht="20" customHeight="1">
      <c r="A5" s="14" t="inlineStr">
        <is>
          <t>NL-004</t>
        </is>
      </c>
      <c r="B5" s="3" t="inlineStr">
        <is>
          <t>Charlotte Brown</t>
        </is>
      </c>
      <c r="C5" s="3" t="inlineStr">
        <is>
          <t>Perth</t>
        </is>
      </c>
      <c r="D5" s="3" t="inlineStr">
        <is>
          <t>Hyundai</t>
        </is>
      </c>
      <c r="E5" s="3" t="inlineStr">
        <is>
          <t>Kona EV</t>
        </is>
      </c>
      <c r="F5" s="3" t="inlineStr">
        <is>
          <t>EV</t>
        </is>
      </c>
      <c r="G5" s="7" t="n">
        <v>54990</v>
      </c>
      <c r="H5" s="8" t="n">
        <v>4</v>
      </c>
      <c r="I5" s="9" t="n">
        <v>15000</v>
      </c>
      <c r="J5" s="7" t="n">
        <v>20621.25</v>
      </c>
      <c r="K5" s="10" t="n">
        <v>0.0699</v>
      </c>
      <c r="L5" s="15">
        <f>IFERROR(PMT(K5/12,H5*12,-(G5-J5)),0)</f>
        <v/>
      </c>
      <c r="M5" s="12" t="n">
        <v>362.5</v>
      </c>
      <c r="N5" s="15">
        <f>L5+M5</f>
        <v/>
      </c>
      <c r="O5" s="15">
        <f>IF(Q5="Y",0,N5*Assumptions!B1)</f>
        <v/>
      </c>
      <c r="P5" s="16">
        <f>IFERROR(G5/11,0)</f>
        <v/>
      </c>
      <c r="Q5" s="8" t="inlineStr">
        <is>
          <t>Y</t>
        </is>
      </c>
      <c r="R5" s="15">
        <f>N5+O5</f>
        <v/>
      </c>
      <c r="S5" s="15">
        <f>R5*H5*12</f>
        <v/>
      </c>
      <c r="T5" s="3" t="inlineStr">
        <is>
          <t>EV — FBT exempt</t>
        </is>
      </c>
    </row>
    <row r="6" ht="20" customHeight="1">
      <c r="A6" s="6" t="inlineStr">
        <is>
          <t>NL-005</t>
        </is>
      </c>
      <c r="B6" s="4" t="inlineStr">
        <is>
          <t>Noah Wilson</t>
        </is>
      </c>
      <c r="C6" s="4" t="inlineStr">
        <is>
          <t>Adelaide</t>
        </is>
      </c>
      <c r="D6" s="4" t="inlineStr">
        <is>
          <t>Kia</t>
        </is>
      </c>
      <c r="E6" s="4" t="inlineStr">
        <is>
          <t>Sportage PHEV</t>
        </is>
      </c>
      <c r="F6" s="4" t="inlineStr">
        <is>
          <t>PHEV</t>
        </is>
      </c>
      <c r="G6" s="7" t="n">
        <v>52990</v>
      </c>
      <c r="H6" s="8" t="n">
        <v>5</v>
      </c>
      <c r="I6" s="9" t="n">
        <v>20000</v>
      </c>
      <c r="J6" s="7" t="n">
        <v>14906.087</v>
      </c>
      <c r="K6" s="10" t="n">
        <v>0.0699</v>
      </c>
      <c r="L6" s="11">
        <f>IFERROR(PMT(K6/12,H6*12,-(G6-J6)),0)</f>
        <v/>
      </c>
      <c r="M6" s="12" t="n">
        <v>462.5</v>
      </c>
      <c r="N6" s="11">
        <f>L6+M6</f>
        <v/>
      </c>
      <c r="O6" s="11">
        <f>IF(Q6="Y",0,N6*Assumptions!B1)</f>
        <v/>
      </c>
      <c r="P6" s="13">
        <f>IFERROR(G6/11,0)</f>
        <v/>
      </c>
      <c r="Q6" s="8" t="inlineStr">
        <is>
          <t>Y</t>
        </is>
      </c>
      <c r="R6" s="11">
        <f>N6+O6</f>
        <v/>
      </c>
      <c r="S6" s="11">
        <f>R6*H6*12</f>
        <v/>
      </c>
      <c r="T6" s="4" t="inlineStr">
        <is>
          <t>PHEV — check ATO threshold</t>
        </is>
      </c>
    </row>
    <row r="7" ht="20" customHeight="1">
      <c r="A7" s="14" t="inlineStr">
        <is>
          <t>NL-006</t>
        </is>
      </c>
      <c r="B7" s="3" t="inlineStr">
        <is>
          <t>Mia Johnson</t>
        </is>
      </c>
      <c r="C7" s="3" t="inlineStr">
        <is>
          <t>Gold Coast</t>
        </is>
      </c>
      <c r="D7" s="3" t="inlineStr">
        <is>
          <t>BYD</t>
        </is>
      </c>
      <c r="E7" s="3" t="inlineStr">
        <is>
          <t>Seal</t>
        </is>
      </c>
      <c r="F7" s="3" t="inlineStr">
        <is>
          <t>EV</t>
        </is>
      </c>
      <c r="G7" s="7" t="n">
        <v>59990</v>
      </c>
      <c r="H7" s="8" t="n">
        <v>4</v>
      </c>
      <c r="I7" s="9" t="n">
        <v>22000</v>
      </c>
      <c r="J7" s="7" t="n">
        <v>22496.25</v>
      </c>
      <c r="K7" s="10" t="n">
        <v>0.0699</v>
      </c>
      <c r="L7" s="15">
        <f>IFERROR(PMT(K7/12,H7*12,-(G7-J7)),0)</f>
        <v/>
      </c>
      <c r="M7" s="12" t="n">
        <v>375</v>
      </c>
      <c r="N7" s="15">
        <f>L7+M7</f>
        <v/>
      </c>
      <c r="O7" s="15">
        <f>IF(Q7="Y",0,N7*Assumptions!B1)</f>
        <v/>
      </c>
      <c r="P7" s="16">
        <f>IFERROR(G7/11,0)</f>
        <v/>
      </c>
      <c r="Q7" s="8" t="inlineStr">
        <is>
          <t>Y</t>
        </is>
      </c>
      <c r="R7" s="15">
        <f>N7+O7</f>
        <v/>
      </c>
      <c r="S7" s="15">
        <f>R7*H7*12</f>
        <v/>
      </c>
      <c r="T7" s="3" t="inlineStr">
        <is>
          <t>New EV — FBT exempt</t>
        </is>
      </c>
    </row>
    <row r="8" ht="20" customHeight="1">
      <c r="A8" s="6" t="inlineStr">
        <is>
          <t>NL-007</t>
        </is>
      </c>
      <c r="B8" s="4" t="inlineStr">
        <is>
          <t>Ethan Lee</t>
        </is>
      </c>
      <c r="C8" s="4" t="inlineStr">
        <is>
          <t>Canberra</t>
        </is>
      </c>
      <c r="D8" s="4" t="inlineStr">
        <is>
          <t>MG</t>
        </is>
      </c>
      <c r="E8" s="4" t="inlineStr">
        <is>
          <t>MG4 EV</t>
        </is>
      </c>
      <c r="F8" s="4" t="inlineStr">
        <is>
          <t>EV</t>
        </is>
      </c>
      <c r="G8" s="7" t="n">
        <v>34990</v>
      </c>
      <c r="H8" s="8" t="n">
        <v>3</v>
      </c>
      <c r="I8" s="9" t="n">
        <v>12000</v>
      </c>
      <c r="J8" s="7" t="n">
        <v>16403.312</v>
      </c>
      <c r="K8" s="10" t="n">
        <v>0.0699</v>
      </c>
      <c r="L8" s="11">
        <f>IFERROR(PMT(K8/12,H8*12,-(G8-J8)),0)</f>
        <v/>
      </c>
      <c r="M8" s="12" t="n">
        <v>316.6666666666667</v>
      </c>
      <c r="N8" s="11">
        <f>L8+M8</f>
        <v/>
      </c>
      <c r="O8" s="11">
        <f>IF(Q8="Y",0,N8*Assumptions!B1)</f>
        <v/>
      </c>
      <c r="P8" s="13">
        <f>IFERROR(G8/11,0)</f>
        <v/>
      </c>
      <c r="Q8" s="8" t="inlineStr">
        <is>
          <t>Y</t>
        </is>
      </c>
      <c r="R8" s="11">
        <f>N8+O8</f>
        <v/>
      </c>
      <c r="S8" s="11">
        <f>R8*H8*12</f>
        <v/>
      </c>
      <c r="T8" s="4" t="inlineStr">
        <is>
          <t>Budget EV option</t>
        </is>
      </c>
    </row>
    <row r="9" ht="20" customHeight="1">
      <c r="A9" s="14" t="inlineStr">
        <is>
          <t>NL-008</t>
        </is>
      </c>
      <c r="B9" s="3" t="inlineStr">
        <is>
          <t>Ruby Martin</t>
        </is>
      </c>
      <c r="C9" s="3" t="inlineStr">
        <is>
          <t>Hobart</t>
        </is>
      </c>
      <c r="D9" s="3" t="inlineStr">
        <is>
          <t>Toyota</t>
        </is>
      </c>
      <c r="E9" s="3" t="inlineStr">
        <is>
          <t>RAV4 Hybrid</t>
        </is>
      </c>
      <c r="F9" s="3" t="inlineStr">
        <is>
          <t>Hybrid</t>
        </is>
      </c>
      <c r="G9" s="7" t="n">
        <v>49990</v>
      </c>
      <c r="H9" s="8" t="n">
        <v>5</v>
      </c>
      <c r="I9" s="9" t="n">
        <v>18000</v>
      </c>
      <c r="J9" s="7" t="n">
        <v>14062.187</v>
      </c>
      <c r="K9" s="10" t="n">
        <v>0.0699</v>
      </c>
      <c r="L9" s="15">
        <f>IFERROR(PMT(K9/12,H9*12,-(G9-J9)),0)</f>
        <v/>
      </c>
      <c r="M9" s="12" t="n">
        <v>545.8333333333334</v>
      </c>
      <c r="N9" s="15">
        <f>L9+M9</f>
        <v/>
      </c>
      <c r="O9" s="15">
        <f>IF(Q9="Y",0,N9*Assumptions!B1)</f>
        <v/>
      </c>
      <c r="P9" s="16">
        <f>IFERROR(G9/11,0)</f>
        <v/>
      </c>
      <c r="Q9" s="8" t="inlineStr">
        <is>
          <t>N</t>
        </is>
      </c>
      <c r="R9" s="15">
        <f>N9+O9</f>
        <v/>
      </c>
      <c r="S9" s="15">
        <f>R9*H9*12</f>
        <v/>
      </c>
      <c r="T9" s="3" t="inlineStr">
        <is>
          <t>Hybrid SUV — FBT applies</t>
        </is>
      </c>
    </row>
    <row r="10" ht="20" customHeight="1">
      <c r="A10" s="6" t="inlineStr">
        <is>
          <t>NL-009</t>
        </is>
      </c>
      <c r="B10" s="4" t="inlineStr">
        <is>
          <t>Cooper Harris</t>
        </is>
      </c>
      <c r="C10" s="4" t="inlineStr">
        <is>
          <t>Newcastle</t>
        </is>
      </c>
      <c r="D10" s="4" t="inlineStr">
        <is>
          <t>Cupra</t>
        </is>
      </c>
      <c r="E10" s="4" t="inlineStr">
        <is>
          <t>Formentor</t>
        </is>
      </c>
      <c r="F10" s="4" t="inlineStr">
        <is>
          <t>Petrol</t>
        </is>
      </c>
      <c r="G10" s="7" t="n">
        <v>57990</v>
      </c>
      <c r="H10" s="8" t="n">
        <v>4</v>
      </c>
      <c r="I10" s="9" t="n">
        <v>20000</v>
      </c>
      <c r="J10" s="7" t="n">
        <v>21746.25</v>
      </c>
      <c r="K10" s="10" t="n">
        <v>0.0699</v>
      </c>
      <c r="L10" s="11">
        <f>IFERROR(PMT(K10/12,H10*12,-(G10-J10)),0)</f>
        <v/>
      </c>
      <c r="M10" s="12" t="n">
        <v>645.8333333333334</v>
      </c>
      <c r="N10" s="11">
        <f>L10+M10</f>
        <v/>
      </c>
      <c r="O10" s="11">
        <f>IF(Q10="Y",0,N10*Assumptions!B1)</f>
        <v/>
      </c>
      <c r="P10" s="13">
        <f>IFERROR(G10/11,0)</f>
        <v/>
      </c>
      <c r="Q10" s="8" t="inlineStr">
        <is>
          <t>N</t>
        </is>
      </c>
      <c r="R10" s="11">
        <f>N10+O10</f>
        <v/>
      </c>
      <c r="S10" s="11">
        <f>R10*H10*12</f>
        <v/>
      </c>
      <c r="T10" s="4" t="inlineStr">
        <is>
          <t>Performance SUV</t>
        </is>
      </c>
    </row>
    <row r="11" ht="20" customHeight="1">
      <c r="A11" s="14" t="inlineStr">
        <is>
          <t>NL-010</t>
        </is>
      </c>
      <c r="B11" s="3" t="inlineStr">
        <is>
          <t>Isla Clarke</t>
        </is>
      </c>
      <c r="C11" s="3" t="inlineStr">
        <is>
          <t>Wollongong</t>
        </is>
      </c>
      <c r="D11" s="3" t="inlineStr">
        <is>
          <t>Subaru</t>
        </is>
      </c>
      <c r="E11" s="3" t="inlineStr">
        <is>
          <t>Outback</t>
        </is>
      </c>
      <c r="F11" s="3" t="inlineStr">
        <is>
          <t>Petrol</t>
        </is>
      </c>
      <c r="G11" s="7" t="n">
        <v>48990</v>
      </c>
      <c r="H11" s="8" t="n">
        <v>5</v>
      </c>
      <c r="I11" s="9" t="n">
        <v>25000</v>
      </c>
      <c r="J11" s="7" t="n">
        <v>13780.887</v>
      </c>
      <c r="K11" s="10" t="n">
        <v>0.0699</v>
      </c>
      <c r="L11" s="15">
        <f>IFERROR(PMT(K11/12,H11*12,-(G11-J11)),0)</f>
        <v/>
      </c>
      <c r="M11" s="12" t="n">
        <v>645.8333333333334</v>
      </c>
      <c r="N11" s="15">
        <f>L11+M11</f>
        <v/>
      </c>
      <c r="O11" s="15">
        <f>IF(Q11="Y",0,N11*Assumptions!B1)</f>
        <v/>
      </c>
      <c r="P11" s="16">
        <f>IFERROR(G11/11,0)</f>
        <v/>
      </c>
      <c r="Q11" s="8" t="inlineStr">
        <is>
          <t>N</t>
        </is>
      </c>
      <c r="R11" s="15">
        <f>N11+O11</f>
        <v/>
      </c>
      <c r="S11" s="15">
        <f>R11*H11*12</f>
        <v/>
      </c>
      <c r="T11" s="3" t="inlineStr">
        <is>
          <t>AWD family wagon</t>
        </is>
      </c>
    </row>
    <row r="12"/>
    <row r="13">
      <c r="A13" s="17" t="inlineStr">
        <is>
          <t>TOTALS / AVERAGES</t>
        </is>
      </c>
      <c r="B13" s="18" t="n"/>
      <c r="C13" s="18" t="n"/>
      <c r="D13" s="18" t="n"/>
      <c r="E13" s="18" t="n"/>
      <c r="F13" s="18" t="n"/>
      <c r="G13" s="19">
        <f>AVERAGE(G2:G11)</f>
        <v/>
      </c>
      <c r="H13" s="18" t="n"/>
      <c r="I13" s="18" t="n"/>
      <c r="J13" s="18" t="n"/>
      <c r="K13" s="18" t="n"/>
      <c r="L13" s="19">
        <f>AVERAGE(L2:L11)</f>
        <v/>
      </c>
      <c r="M13" s="18" t="n"/>
      <c r="N13" s="18" t="n"/>
      <c r="O13" s="18" t="n"/>
      <c r="P13" s="19">
        <f>SUM(P2:P11)</f>
        <v/>
      </c>
      <c r="Q13" s="18" t="n"/>
      <c r="R13" s="19">
        <f>AVERAGE(R2:R11)</f>
        <v/>
      </c>
      <c r="S13" s="19">
        <f>SUM(S2:S11)</f>
        <v/>
      </c>
      <c r="T13" s="18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36" customHeight="1">
      <c r="A1" s="20" t="inlineStr">
        <is>
          <t>Novated Lease Comparison — Summary Dashboard</t>
        </is>
      </c>
      <c r="B1" s="31" t="n"/>
      <c r="C1" s="31" t="n"/>
      <c r="D1" s="31" t="n"/>
      <c r="E1" s="32" t="n"/>
    </row>
    <row r="2">
      <c r="A2" s="17" t="inlineStr">
        <is>
          <t>KPI</t>
        </is>
      </c>
      <c r="B2" s="17" t="inlineStr">
        <is>
          <t>Value</t>
        </is>
      </c>
      <c r="C2" s="17" t="inlineStr">
        <is>
          <t>Formula / Source</t>
        </is>
      </c>
      <c r="D2" s="17" t="inlineStr">
        <is>
          <t>Notes</t>
        </is>
      </c>
      <c r="E2" s="17" t="inlineStr"/>
    </row>
    <row r="3" ht="20" customHeight="1">
      <c r="A3" s="21" t="inlineStr">
        <is>
          <t>Lowest Total Cost Over Lease</t>
        </is>
      </c>
      <c r="B3" s="16">
        <f>MIN('Vehicle Comparisons'!S2:S11)</f>
        <v/>
      </c>
      <c r="C3" s="3" t="inlineStr">
        <is>
          <t>MIN of Total Cost Over Lease</t>
        </is>
      </c>
      <c r="D3" s="3" t="inlineStr">
        <is>
          <t>Best value lease scenario</t>
        </is>
      </c>
    </row>
    <row r="4" ht="20" customHeight="1">
      <c r="A4" s="22" t="inlineStr">
        <is>
          <t>Highest GST Savings</t>
        </is>
      </c>
      <c r="B4" s="13">
        <f>MAX('Vehicle Comparisons'!P2:P11)</f>
        <v/>
      </c>
      <c r="C4" s="4" t="inlineStr">
        <is>
          <t>MAX of GST Savings column</t>
        </is>
      </c>
      <c r="D4" s="4" t="inlineStr">
        <is>
          <t>Highest one-off GST saving</t>
        </is>
      </c>
    </row>
    <row r="5" ht="20" customHeight="1">
      <c r="A5" s="21" t="inlineStr">
        <is>
          <t>Average Monthly Cost</t>
        </is>
      </c>
      <c r="B5" s="16">
        <f>AVERAGE('Vehicle Comparisons'!R2:R11)</f>
        <v/>
      </c>
      <c r="C5" s="3" t="inlineStr">
        <is>
          <t>AVERAGE of Total Monthly Cost</t>
        </is>
      </c>
      <c r="D5" s="3" t="inlineStr">
        <is>
          <t>Across all 10 options</t>
        </is>
      </c>
    </row>
    <row r="6" ht="20" customHeight="1">
      <c r="A6" s="22" t="inlineStr">
        <is>
          <t>Total GST Savings (All)</t>
        </is>
      </c>
      <c r="B6" s="13">
        <f>SUM('Vehicle Comparisons'!P2:P11)</f>
        <v/>
      </c>
      <c r="C6" s="4" t="inlineStr">
        <is>
          <t>SUM of all GST Savings</t>
        </is>
      </c>
      <c r="D6" s="4" t="inlineStr">
        <is>
          <t>Combined GST savings</t>
        </is>
      </c>
    </row>
    <row r="7" ht="20" customHeight="1">
      <c r="A7" s="21" t="inlineStr">
        <is>
          <t>Number of FBT-Exempt Options</t>
        </is>
      </c>
      <c r="B7" s="23">
        <f>COUNTIF('Vehicle Comparisons'!Q2:Q11,"Y")</f>
        <v/>
      </c>
      <c r="C7" s="3" t="inlineStr">
        <is>
          <t>COUNTIF FBT Exempt = Y</t>
        </is>
      </c>
      <c r="D7" s="3" t="inlineStr">
        <is>
          <t>EV/PHEV options</t>
        </is>
      </c>
    </row>
    <row r="8" ht="20" customHeight="1">
      <c r="A8" s="22" t="inlineStr">
        <is>
          <t>Average Purchase Price</t>
        </is>
      </c>
      <c r="B8" s="13">
        <f>AVERAGE('Vehicle Comparisons'!G2:G11)</f>
        <v/>
      </c>
      <c r="C8" s="4" t="inlineStr">
        <is>
          <t>AVERAGE Purchase Price</t>
        </is>
      </c>
      <c r="D8" s="4" t="inlineStr">
        <is>
          <t>All vehicles</t>
        </is>
      </c>
    </row>
    <row r="9" ht="20" customHeight="1">
      <c r="A9" s="21" t="inlineStr">
        <is>
          <t>Highest Total Lease Cost</t>
        </is>
      </c>
      <c r="B9" s="16">
        <f>MAX('Vehicle Comparisons'!S2:S11)</f>
        <v/>
      </c>
      <c r="C9" s="3" t="inlineStr">
        <is>
          <t>MAX of Total Cost Over Lease</t>
        </is>
      </c>
      <c r="D9" s="3" t="inlineStr">
        <is>
          <t>Most expensive option</t>
        </is>
      </c>
    </row>
    <row r="10" ht="20" customHeight="1">
      <c r="A10" s="22" t="inlineStr">
        <is>
          <t>Total Lease Portfolio Cost</t>
        </is>
      </c>
      <c r="B10" s="13">
        <f>SUM('Vehicle Comparisons'!S2:S11)</f>
        <v/>
      </c>
      <c r="C10" s="4" t="inlineStr">
        <is>
          <t>SUM of all Total Costs</t>
        </is>
      </c>
      <c r="D10" s="4" t="inlineStr">
        <is>
          <t>All leases combined</t>
        </is>
      </c>
    </row>
    <row r="11"/>
    <row r="12"/>
    <row r="13">
      <c r="A13" s="24" t="inlineStr">
        <is>
          <t>Vehicle-by-Vehicle Summary</t>
        </is>
      </c>
      <c r="B13" s="25" t="n"/>
      <c r="C13" s="25" t="n"/>
      <c r="D13" s="25" t="n"/>
      <c r="E13" s="25" t="n"/>
    </row>
    <row r="14">
      <c r="A14" s="5" t="inlineStr">
        <is>
          <t>Vehicle</t>
        </is>
      </c>
      <c r="B14" s="5" t="inlineStr">
        <is>
          <t>Employee</t>
        </is>
      </c>
      <c r="C14" s="5" t="inlineStr">
        <is>
          <t>Total Monthly Cost</t>
        </is>
      </c>
      <c r="D14" s="5" t="inlineStr">
        <is>
          <t>Total Cost Over Lease</t>
        </is>
      </c>
      <c r="E14" s="5" t="inlineStr">
        <is>
          <t>FBT Exempt?</t>
        </is>
      </c>
    </row>
    <row r="15" ht="18" customHeight="1">
      <c r="A15" s="3" t="inlineStr">
        <is>
          <t>Toyota Corolla Hybrid</t>
        </is>
      </c>
      <c r="B15" s="3" t="inlineStr">
        <is>
          <t>Jack Thompson</t>
        </is>
      </c>
      <c r="C15" s="16">
        <f>'Vehicle Comparisons'!R2</f>
        <v/>
      </c>
      <c r="D15" s="16">
        <f>'Vehicle Comparisons'!S2</f>
        <v/>
      </c>
      <c r="E15" s="14">
        <f>'Vehicle Comparisons'!Q2</f>
        <v/>
      </c>
    </row>
    <row r="16" ht="18" customHeight="1">
      <c r="A16" s="4" t="inlineStr">
        <is>
          <t>Tesla Model 3</t>
        </is>
      </c>
      <c r="B16" s="4" t="inlineStr">
        <is>
          <t>Olivia Nguyen</t>
        </is>
      </c>
      <c r="C16" s="13">
        <f>'Vehicle Comparisons'!R3</f>
        <v/>
      </c>
      <c r="D16" s="13">
        <f>'Vehicle Comparisons'!S3</f>
        <v/>
      </c>
      <c r="E16" s="6">
        <f>'Vehicle Comparisons'!Q3</f>
        <v/>
      </c>
    </row>
    <row r="17" ht="18" customHeight="1">
      <c r="A17" s="3" t="inlineStr">
        <is>
          <t>Mazda CX-5</t>
        </is>
      </c>
      <c r="B17" s="3" t="inlineStr">
        <is>
          <t>Liam Smith</t>
        </is>
      </c>
      <c r="C17" s="16">
        <f>'Vehicle Comparisons'!R4</f>
        <v/>
      </c>
      <c r="D17" s="16">
        <f>'Vehicle Comparisons'!S4</f>
        <v/>
      </c>
      <c r="E17" s="14">
        <f>'Vehicle Comparisons'!Q4</f>
        <v/>
      </c>
    </row>
    <row r="18" ht="18" customHeight="1">
      <c r="A18" s="4" t="inlineStr">
        <is>
          <t>Hyundai Kona EV</t>
        </is>
      </c>
      <c r="B18" s="4" t="inlineStr">
        <is>
          <t>Charlotte Brown</t>
        </is>
      </c>
      <c r="C18" s="13">
        <f>'Vehicle Comparisons'!R5</f>
        <v/>
      </c>
      <c r="D18" s="13">
        <f>'Vehicle Comparisons'!S5</f>
        <v/>
      </c>
      <c r="E18" s="6">
        <f>'Vehicle Comparisons'!Q5</f>
        <v/>
      </c>
    </row>
    <row r="19" ht="18" customHeight="1">
      <c r="A19" s="3" t="inlineStr">
        <is>
          <t>Kia Sportage PHEV</t>
        </is>
      </c>
      <c r="B19" s="3" t="inlineStr">
        <is>
          <t>Noah Wilson</t>
        </is>
      </c>
      <c r="C19" s="16">
        <f>'Vehicle Comparisons'!R6</f>
        <v/>
      </c>
      <c r="D19" s="16">
        <f>'Vehicle Comparisons'!S6</f>
        <v/>
      </c>
      <c r="E19" s="14">
        <f>'Vehicle Comparisons'!Q6</f>
        <v/>
      </c>
    </row>
    <row r="20" ht="18" customHeight="1">
      <c r="A20" s="4" t="inlineStr">
        <is>
          <t>BYD Seal</t>
        </is>
      </c>
      <c r="B20" s="4" t="inlineStr">
        <is>
          <t>Mia Johnson</t>
        </is>
      </c>
      <c r="C20" s="13">
        <f>'Vehicle Comparisons'!R7</f>
        <v/>
      </c>
      <c r="D20" s="13">
        <f>'Vehicle Comparisons'!S7</f>
        <v/>
      </c>
      <c r="E20" s="6">
        <f>'Vehicle Comparisons'!Q7</f>
        <v/>
      </c>
    </row>
    <row r="21" ht="18" customHeight="1">
      <c r="A21" s="3" t="inlineStr">
        <is>
          <t>MG MG4 EV</t>
        </is>
      </c>
      <c r="B21" s="3" t="inlineStr">
        <is>
          <t>Ethan Lee</t>
        </is>
      </c>
      <c r="C21" s="16">
        <f>'Vehicle Comparisons'!R8</f>
        <v/>
      </c>
      <c r="D21" s="16">
        <f>'Vehicle Comparisons'!S8</f>
        <v/>
      </c>
      <c r="E21" s="14">
        <f>'Vehicle Comparisons'!Q8</f>
        <v/>
      </c>
    </row>
    <row r="22" ht="18" customHeight="1">
      <c r="A22" s="4" t="inlineStr">
        <is>
          <t>Toyota RAV4 Hybrid</t>
        </is>
      </c>
      <c r="B22" s="4" t="inlineStr">
        <is>
          <t>Ruby Martin</t>
        </is>
      </c>
      <c r="C22" s="13">
        <f>'Vehicle Comparisons'!R9</f>
        <v/>
      </c>
      <c r="D22" s="13">
        <f>'Vehicle Comparisons'!S9</f>
        <v/>
      </c>
      <c r="E22" s="6">
        <f>'Vehicle Comparisons'!Q9</f>
        <v/>
      </c>
    </row>
    <row r="23" ht="18" customHeight="1">
      <c r="A23" s="3" t="inlineStr">
        <is>
          <t>Cupra Formentor</t>
        </is>
      </c>
      <c r="B23" s="3" t="inlineStr">
        <is>
          <t>Cooper Harris</t>
        </is>
      </c>
      <c r="C23" s="16">
        <f>'Vehicle Comparisons'!R10</f>
        <v/>
      </c>
      <c r="D23" s="16">
        <f>'Vehicle Comparisons'!S10</f>
        <v/>
      </c>
      <c r="E23" s="14">
        <f>'Vehicle Comparisons'!Q10</f>
        <v/>
      </c>
    </row>
    <row r="24" ht="18" customHeight="1">
      <c r="A24" s="4" t="inlineStr">
        <is>
          <t>Subaru Outback</t>
        </is>
      </c>
      <c r="B24" s="4" t="inlineStr">
        <is>
          <t>Isla Clarke</t>
        </is>
      </c>
      <c r="C24" s="13">
        <f>'Vehicle Comparisons'!R11</f>
        <v/>
      </c>
      <c r="D24" s="13">
        <f>'Vehicle Comparisons'!S11</f>
        <v/>
      </c>
      <c r="E24" s="6">
        <f>'Vehicle Comparisons'!Q11</f>
        <v/>
      </c>
    </row>
    <row r="25"/>
    <row r="26">
      <c r="G26" s="26" t="inlineStr">
        <is>
          <t>Category</t>
        </is>
      </c>
      <c r="H26" s="26" t="inlineStr">
        <is>
          <t>Count</t>
        </is>
      </c>
    </row>
    <row r="27">
      <c r="G27" s="27" t="inlineStr">
        <is>
          <t>FBT Exempt</t>
        </is>
      </c>
      <c r="H27">
        <f>COUNTIF('Vehicle Comparisons'!Q2:Q11,"Y")</f>
        <v/>
      </c>
    </row>
    <row r="28">
      <c r="G28" s="27" t="inlineStr">
        <is>
          <t>Taxable</t>
        </is>
      </c>
      <c r="H28">
        <f>COUNTIF('Vehicle Comparisons'!Q2:Q11,"N")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45" customWidth="1" min="4" max="4"/>
    <col width="12" customWidth="1" min="5" max="5"/>
  </cols>
  <sheetData>
    <row r="1" ht="8" customHeight="1">
      <c r="A1" s="5" t="inlineStr">
        <is>
          <t>Assumption</t>
        </is>
      </c>
      <c r="B1" s="5" t="inlineStr">
        <is>
          <t>Value</t>
        </is>
      </c>
      <c r="C1" s="5" t="inlineStr">
        <is>
          <t>Unit</t>
        </is>
      </c>
      <c r="D1" s="5" t="inlineStr">
        <is>
          <t>Notes</t>
        </is>
      </c>
      <c r="E1" s="5" t="inlineStr">
        <is>
          <t>Status</t>
        </is>
      </c>
    </row>
    <row r="2">
      <c r="A2" s="4" t="inlineStr">
        <is>
          <t>Marginal Tax Rate</t>
        </is>
      </c>
      <c r="B2" s="28" t="n">
        <v>0.325</v>
      </c>
      <c r="C2" s="29" t="inlineStr">
        <is>
          <t>%</t>
        </is>
      </c>
      <c r="D2" s="4" t="inlineStr">
        <is>
          <t>ATO 2025–26: 32.5% for $45,001–$135,000 taxable income</t>
        </is>
      </c>
      <c r="E2" s="6">
        <f>IF(B2&gt;0,"Input OK","Check")</f>
        <v/>
      </c>
    </row>
    <row r="3">
      <c r="A3" s="3" t="inlineStr">
        <is>
          <t>GST Rate</t>
        </is>
      </c>
      <c r="B3" s="28" t="n">
        <v>0.1</v>
      </c>
      <c r="C3" s="30" t="inlineStr">
        <is>
          <t>%</t>
        </is>
      </c>
      <c r="D3" s="3" t="inlineStr">
        <is>
          <t>Standard Australian GST rate (10%)</t>
        </is>
      </c>
      <c r="E3" s="14">
        <f>IF(B3&gt;0,"Input OK","Check")</f>
        <v/>
      </c>
    </row>
    <row r="4">
      <c r="A4" s="4" t="inlineStr">
        <is>
          <t>FBT Rate</t>
        </is>
      </c>
      <c r="B4" s="28" t="n">
        <v>0.47</v>
      </c>
      <c r="C4" s="29" t="inlineStr">
        <is>
          <t>%</t>
        </is>
      </c>
      <c r="D4" s="4" t="inlineStr">
        <is>
          <t>2026 FBT year gross-up rate inclusive of Medicare levy</t>
        </is>
      </c>
      <c r="E4" s="6">
        <f>IF(B4&gt;0,"Input OK","Check")</f>
        <v/>
      </c>
    </row>
    <row r="5">
      <c r="A5" s="3" t="inlineStr">
        <is>
          <t>Indicative Interest Rate</t>
        </is>
      </c>
      <c r="B5" s="28" t="n">
        <v>0.0699</v>
      </c>
      <c r="C5" s="30" t="inlineStr">
        <is>
          <t>% p.a.</t>
        </is>
      </c>
      <c r="D5" s="3" t="inlineStr">
        <is>
          <t>Typical novated lease rate — check with your lease provider</t>
        </is>
      </c>
      <c r="E5" s="14">
        <f>IF(B5&gt;0,"Input OK","Check")</f>
        <v/>
      </c>
    </row>
    <row r="6">
      <c r="A6" s="4" t="inlineStr">
        <is>
          <t>Lease Administration Fee (Monthly)</t>
        </is>
      </c>
      <c r="B6" s="12" t="n">
        <v>35</v>
      </c>
      <c r="C6" s="29" t="inlineStr">
        <is>
          <t>AUD/mth</t>
        </is>
      </c>
      <c r="D6" s="4" t="inlineStr">
        <is>
          <t>Monthly fleet/admin fee charged by lease company</t>
        </is>
      </c>
      <c r="E6" s="6">
        <f>IF(B6&gt;0,"Input OK","Check")</f>
        <v/>
      </c>
    </row>
    <row r="7">
      <c r="A7" s="3" t="inlineStr">
        <is>
          <t>Employer Contribution (ECM)</t>
        </is>
      </c>
      <c r="B7" s="28" t="n">
        <v>0</v>
      </c>
      <c r="C7" s="30" t="inlineStr">
        <is>
          <t>AUD/mth</t>
        </is>
      </c>
      <c r="D7" s="3" t="inlineStr">
        <is>
          <t>Employer contribution to offset FBT (if applicable)</t>
        </is>
      </c>
      <c r="E7" s="14">
        <f>IF(B7&gt;0,"Input OK","Check")</f>
        <v/>
      </c>
    </row>
    <row r="8">
      <c r="A8" s="4" t="inlineStr">
        <is>
          <t>Annual Rego (Average)</t>
        </is>
      </c>
      <c r="B8" s="12" t="n">
        <v>900</v>
      </c>
      <c r="C8" s="29" t="inlineStr">
        <is>
          <t>AUD/yr</t>
        </is>
      </c>
      <c r="D8" s="4" t="inlineStr">
        <is>
          <t>Average registration — varies by state</t>
        </is>
      </c>
      <c r="E8" s="6">
        <f>IF(B8&gt;0,"Input OK","Check")</f>
        <v/>
      </c>
    </row>
    <row r="9">
      <c r="A9" s="3" t="inlineStr">
        <is>
          <t>Annual Insurance (Average)</t>
        </is>
      </c>
      <c r="B9" s="12" t="n">
        <v>1800</v>
      </c>
      <c r="C9" s="30" t="inlineStr">
        <is>
          <t>AUD/yr</t>
        </is>
      </c>
      <c r="D9" s="3" t="inlineStr">
        <is>
          <t>Comprehensive insurance estimate</t>
        </is>
      </c>
      <c r="E9" s="14">
        <f>IF(B9&gt;0,"Input OK","Check")</f>
        <v/>
      </c>
    </row>
    <row r="10">
      <c r="A10" s="4" t="inlineStr">
        <is>
          <t>Annual Servicing (Average)</t>
        </is>
      </c>
      <c r="B10" s="12" t="n">
        <v>1200</v>
      </c>
      <c r="C10" s="29" t="inlineStr">
        <is>
          <t>AUD/yr</t>
        </is>
      </c>
      <c r="D10" s="4" t="inlineStr">
        <is>
          <t>Log-book servicing estimate</t>
        </is>
      </c>
      <c r="E10" s="6">
        <f>IF(B10&gt;0,"Input OK","Check")</f>
        <v/>
      </c>
    </row>
    <row r="11">
      <c r="A11" s="3" t="inlineStr">
        <is>
          <t>Annual Tyres (Average)</t>
        </is>
      </c>
      <c r="B11" s="12" t="n">
        <v>600</v>
      </c>
      <c r="C11" s="30" t="inlineStr">
        <is>
          <t>AUD/yr</t>
        </is>
      </c>
      <c r="D11" s="3" t="inlineStr">
        <is>
          <t>Tyre replacement allowance</t>
        </is>
      </c>
      <c r="E11" s="14">
        <f>IF(B11&gt;0,"Input OK","Check")</f>
        <v/>
      </c>
    </row>
    <row r="12">
      <c r="A12" s="4" t="inlineStr">
        <is>
          <t>Annual Fuel/EV Charging (Average)</t>
        </is>
      </c>
      <c r="B12" s="12" t="n">
        <v>2400</v>
      </c>
      <c r="C12" s="29" t="inlineStr">
        <is>
          <t>AUD/yr</t>
        </is>
      </c>
      <c r="D12" s="4" t="inlineStr">
        <is>
          <t>Petrol ~$2.10/L or EV charging equivalent</t>
        </is>
      </c>
      <c r="E12" s="6">
        <f>IF(B12&gt;0,"Input OK","Check")</f>
        <v/>
      </c>
    </row>
    <row r="13">
      <c r="A13" s="3" t="inlineStr">
        <is>
          <t>Residual % — 3 Year Lease</t>
        </is>
      </c>
      <c r="B13" s="28" t="n">
        <v>0.4688</v>
      </c>
      <c r="C13" s="30" t="inlineStr">
        <is>
          <t>%</t>
        </is>
      </c>
      <c r="D13" s="3" t="inlineStr">
        <is>
          <t>ATO-prescribed residual: 46.88% of purchase price</t>
        </is>
      </c>
      <c r="E13" s="14">
        <f>IF(B13&gt;0,"Input OK","Check")</f>
        <v/>
      </c>
    </row>
    <row r="14">
      <c r="A14" s="4" t="inlineStr">
        <is>
          <t>Residual % — 4 Year Lease</t>
        </is>
      </c>
      <c r="B14" s="28" t="n">
        <v>0.375</v>
      </c>
      <c r="C14" s="29" t="inlineStr">
        <is>
          <t>%</t>
        </is>
      </c>
      <c r="D14" s="4" t="inlineStr">
        <is>
          <t>ATO-prescribed residual: 37.50% of purchase price</t>
        </is>
      </c>
      <c r="E14" s="6">
        <f>IF(B14&gt;0,"Input OK","Check")</f>
        <v/>
      </c>
    </row>
    <row r="15">
      <c r="A15" s="3" t="inlineStr">
        <is>
          <t>Residual % — 5 Year Lease</t>
        </is>
      </c>
      <c r="B15" s="28" t="n">
        <v>0.2813</v>
      </c>
      <c r="C15" s="30" t="inlineStr">
        <is>
          <t>%</t>
        </is>
      </c>
      <c r="D15" s="3" t="inlineStr">
        <is>
          <t>ATO-prescribed residual: 28.13% of purchase price</t>
        </is>
      </c>
      <c r="E15" s="14">
        <f>IF(B15&gt;0,"Input OK","Check")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2026-06-18T12:02:00Z</dcterms:created>
  <dcterms:modified xmlns:dcterms="http://purl.org/dc/terms/" xmlns:xsi="http://www.w3.org/2001/XMLSchema-instance" xsi:type="dcterms:W3CDTF">2026-06-18T12:02:00Z</dcterms:modified>
</cp:coreProperties>
</file>