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ster &amp; Pay" sheetId="1" state="visible" r:id="rId1"/>
    <sheet xmlns:r="http://schemas.openxmlformats.org/officeDocument/2006/relationships" name="Penalty Rates" sheetId="2" state="visible" r:id="rId2"/>
    <sheet xmlns:r="http://schemas.openxmlformats.org/officeDocument/2006/relationships" name="Summary 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5">
    <numFmt numFmtId="164" formatCode="DD/MM/YYYY"/>
    <numFmt numFmtId="165" formatCode="hh:mm"/>
    <numFmt numFmtId="166" formatCode="$#,##0.00"/>
    <numFmt numFmtId="167" formatCode="0.00&quot;x&quot;"/>
    <numFmt numFmtId="168" formatCode="0.0%"/>
  </numFmts>
  <fonts count="6">
    <font>
      <name val="Calibri"/>
      <family val="2"/>
      <color theme="1"/>
      <sz val="11"/>
      <scheme val="minor"/>
    </font>
    <font>
      <b val="1"/>
      <color rgb="001E293B"/>
      <sz val="14"/>
    </font>
    <font>
      <b val="1"/>
      <color rgb="00FFFFFF"/>
      <sz val="11"/>
    </font>
    <font>
      <b val="1"/>
      <color rgb="001E293B"/>
      <sz val="11"/>
    </font>
    <font>
      <b val="1"/>
      <color rgb="00DC2626"/>
      <sz val="11"/>
    </font>
    <font>
      <b val="1"/>
      <color rgb="0016A34A"/>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E2E8F0"/>
      </patternFill>
    </fill>
    <fill>
      <patternFill patternType="solid">
        <fgColor rgb="00006A4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8">
    <xf numFmtId="0" fontId="0" fillId="0" borderId="0" pivotButton="0" quotePrefix="0" xfId="0"/>
    <xf numFmtId="0" fontId="1" fillId="0" borderId="0" applyAlignment="1" pivotButton="0" quotePrefix="0" xfId="0">
      <alignment horizontal="left" vertical="center" wrapText="1"/>
    </xf>
    <xf numFmtId="0" fontId="2" fillId="2"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3" borderId="1" applyAlignment="1" pivotButton="0" quotePrefix="0" xfId="0">
      <alignment horizontal="left" vertical="center" wrapText="1"/>
    </xf>
    <xf numFmtId="164"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2" fontId="0" fillId="3" borderId="1" applyAlignment="1" pivotButton="0" quotePrefix="0" xfId="0">
      <alignment horizontal="center" vertical="center" wrapText="1"/>
    </xf>
    <xf numFmtId="2" fontId="0" fillId="0" borderId="1" applyAlignment="1" pivotButton="0" quotePrefix="0" xfId="0">
      <alignment horizontal="center" vertical="center" wrapText="1"/>
    </xf>
    <xf numFmtId="166" fontId="0" fillId="3" borderId="1" applyAlignment="1" pivotButton="0" quotePrefix="0" xfId="0">
      <alignment horizontal="center" vertical="center" wrapText="1"/>
    </xf>
    <xf numFmtId="1" fontId="0" fillId="0" borderId="1" applyAlignment="1" pivotButton="0" quotePrefix="0" xfId="0">
      <alignment horizontal="center" vertical="center" wrapText="1"/>
    </xf>
    <xf numFmtId="167" fontId="0" fillId="0" borderId="1" applyAlignment="1" pivotButton="0" quotePrefix="0" xfId="0">
      <alignment horizontal="center" vertical="center" wrapText="1"/>
    </xf>
    <xf numFmtId="166" fontId="0" fillId="0" borderId="1" applyAlignment="1" pivotButton="0" quotePrefix="0" xfId="0">
      <alignment horizontal="center" vertical="center" wrapText="1"/>
    </xf>
    <xf numFmtId="0" fontId="0" fillId="4" borderId="1" applyAlignment="1" pivotButton="0" quotePrefix="0" xfId="0">
      <alignment horizontal="center" vertical="center" wrapText="1"/>
    </xf>
    <xf numFmtId="2" fontId="0" fillId="4" borderId="1" applyAlignment="1" pivotButton="0" quotePrefix="0" xfId="0">
      <alignment horizontal="center" vertical="center" wrapText="1"/>
    </xf>
    <xf numFmtId="1" fontId="0" fillId="4" borderId="1" applyAlignment="1" pivotButton="0" quotePrefix="0" xfId="0">
      <alignment horizontal="center" vertical="center" wrapText="1"/>
    </xf>
    <xf numFmtId="167" fontId="0" fillId="4" borderId="1" applyAlignment="1" pivotButton="0" quotePrefix="0" xfId="0">
      <alignment horizontal="center" vertical="center" wrapText="1"/>
    </xf>
    <xf numFmtId="166" fontId="0" fillId="4" borderId="1" applyAlignment="1" pivotButton="0" quotePrefix="0" xfId="0">
      <alignment horizontal="center" vertical="center" wrapText="1"/>
    </xf>
    <xf numFmtId="0" fontId="3" fillId="5" borderId="1" pivotButton="0" quotePrefix="0" xfId="0"/>
    <xf numFmtId="2" fontId="3" fillId="5" borderId="1" pivotButton="0" quotePrefix="0" xfId="0"/>
    <xf numFmtId="166" fontId="3" fillId="5" borderId="1" pivotButton="0" quotePrefix="0" xfId="0"/>
    <xf numFmtId="0" fontId="4" fillId="0" borderId="0" applyAlignment="1" pivotButton="0" quotePrefix="0" xfId="0">
      <alignment horizontal="left" vertical="center" wrapText="1"/>
    </xf>
    <xf numFmtId="0" fontId="0" fillId="0" borderId="1" applyAlignment="1" pivotButton="0" quotePrefix="0" xfId="0">
      <alignment horizontal="left" vertical="center" wrapText="1"/>
    </xf>
    <xf numFmtId="0" fontId="0" fillId="4" borderId="1" applyAlignment="1" pivotButton="0" quotePrefix="0" xfId="0">
      <alignment horizontal="left" vertical="center" wrapText="1"/>
    </xf>
    <xf numFmtId="0" fontId="3" fillId="0" borderId="1" applyAlignment="1" pivotButton="0" quotePrefix="0" xfId="0">
      <alignment horizontal="left" vertical="center" wrapText="1"/>
    </xf>
    <xf numFmtId="2" fontId="5" fillId="0" borderId="1" applyAlignment="1" pivotButton="0" quotePrefix="0" xfId="0">
      <alignment horizontal="right" vertical="center"/>
    </xf>
    <xf numFmtId="166" fontId="5" fillId="0" borderId="1" applyAlignment="1" pivotButton="0" quotePrefix="0" xfId="0">
      <alignment horizontal="right" vertical="center"/>
    </xf>
    <xf numFmtId="166" fontId="3" fillId="0" borderId="1" applyAlignment="1" pivotButton="0" quotePrefix="0" xfId="0">
      <alignment horizontal="right" vertical="center"/>
    </xf>
    <xf numFmtId="1" fontId="3" fillId="0" borderId="1" applyAlignment="1" pivotButton="0" quotePrefix="0" xfId="0">
      <alignment horizontal="right" vertical="center"/>
    </xf>
    <xf numFmtId="168" fontId="5" fillId="0" borderId="1" applyAlignment="1" pivotButton="0" quotePrefix="0" xfId="0">
      <alignment horizontal="right" vertical="center"/>
    </xf>
    <xf numFmtId="0" fontId="3" fillId="0" borderId="0" pivotButton="0" quotePrefix="0" xfId="0"/>
    <xf numFmtId="0" fontId="2" fillId="6" borderId="1" pivotButton="0" quotePrefix="0" xfId="0"/>
    <xf numFmtId="0" fontId="0" fillId="0" borderId="1" pivotButton="0" quotePrefix="0" xfId="0"/>
    <xf numFmtId="166" fontId="0" fillId="0" borderId="1"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164"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167" fontId="0" fillId="0" borderId="1" applyAlignment="1" pivotButton="0" quotePrefix="0" xfId="0">
      <alignment horizontal="center" vertical="center" wrapText="1"/>
    </xf>
    <xf numFmtId="166" fontId="0" fillId="0" borderId="1" applyAlignment="1" pivotButton="0" quotePrefix="0" xfId="0">
      <alignment horizontal="center" vertical="center" wrapText="1"/>
    </xf>
    <xf numFmtId="167" fontId="0" fillId="4" borderId="1" applyAlignment="1" pivotButton="0" quotePrefix="0" xfId="0">
      <alignment horizontal="center" vertical="center" wrapText="1"/>
    </xf>
    <xf numFmtId="166" fontId="0" fillId="4" borderId="1" applyAlignment="1" pivotButton="0" quotePrefix="0" xfId="0">
      <alignment horizontal="center" vertical="center" wrapText="1"/>
    </xf>
    <xf numFmtId="166" fontId="3" fillId="5" borderId="1" pivotButton="0" quotePrefix="0" xfId="0"/>
    <xf numFmtId="166" fontId="5" fillId="0" borderId="1" applyAlignment="1" pivotButton="0" quotePrefix="0" xfId="0">
      <alignment horizontal="right" vertical="center"/>
    </xf>
    <xf numFmtId="166" fontId="3" fillId="0" borderId="1" applyAlignment="1" pivotButton="0" quotePrefix="0" xfId="0">
      <alignment horizontal="right" vertical="center"/>
    </xf>
    <xf numFmtId="168" fontId="5" fillId="0" borderId="1" applyAlignment="1" pivotButton="0" quotePrefix="0" xfId="0">
      <alignment horizontal="right" vertical="center"/>
    </xf>
    <xf numFmtId="166" fontId="0" fillId="0" borderId="1" pivotButton="0" quotePrefix="0" xfId="0"/>
  </cellXfs>
  <cellStyles count="1">
    <cellStyle name="Normal" xfId="0" builtinId="0" hidden="0"/>
  </cellStyles>
  <dxfs count="2">
    <dxf>
      <fill>
        <patternFill patternType="solid">
          <fgColor rgb="00DCFCE7"/>
        </patternFill>
      </fill>
    </dxf>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Gross Pay by Employee (AUD)</a:t>
            </a:r>
          </a:p>
        </rich>
      </tx>
    </title>
    <plotArea>
      <barChart>
        <barDir val="col"/>
        <grouping val="clustered"/>
        <ser>
          <idx val="0"/>
          <order val="0"/>
          <tx>
            <strRef>
              <f>'Roster &amp; Pay'!Q2</f>
            </strRef>
          </tx>
          <spPr>
            <a:solidFill xmlns:a="http://schemas.openxmlformats.org/drawingml/2006/main">
              <a:srgbClr val="006A4E"/>
            </a:solidFill>
            <a:ln xmlns:a="http://schemas.openxmlformats.org/drawingml/2006/main">
              <a:prstDash val="solid"/>
            </a:ln>
          </spPr>
          <cat>
            <numRef>
              <f>'Roster &amp; Pay'!$B$3:$B$11</f>
            </numRef>
          </cat>
          <val>
            <numRef>
              <f>'Roster &amp; Pay'!$Q$3:$Q$11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Gross Pay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Gross Pay by Penalty Type</a:t>
            </a:r>
          </a:p>
        </rich>
      </tx>
    </title>
    <plotArea>
      <doughnutChart>
        <varyColors val="1"/>
        <ser>
          <idx val="0"/>
          <order val="0"/>
          <tx>
            <strRef>
              <f>'Summary Dashboard'!B13</f>
            </strRef>
          </tx>
          <spPr>
            <a:ln xmlns:a="http://schemas.openxmlformats.org/drawingml/2006/main">
              <a:prstDash val="solid"/>
            </a:ln>
          </spPr>
          <cat>
            <numRef>
              <f>'Summary Dashboard'!$A$14:$A$19</f>
            </numRef>
          </cat>
          <val>
            <numRef>
              <f>'Summary Dashboard'!$B$14:$B$19</f>
            </numRef>
          </val>
        </ser>
        <firstSliceAng val="0"/>
        <holeSize val="10"/>
      </doughnut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504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R12"/>
  <sheetViews>
    <sheetView workbookViewId="0">
      <pane ySplit="2" topLeftCell="A3" activePane="bottomLeft" state="frozen"/>
      <selection pane="bottomLeft" activeCell="A1" sqref="A1"/>
    </sheetView>
  </sheetViews>
  <sheetFormatPr baseColWidth="8" defaultRowHeight="15"/>
  <cols>
    <col width="9" customWidth="1" min="1" max="1"/>
    <col width="12" customWidth="1" min="2" max="2"/>
    <col width="18" customWidth="1" min="3" max="3"/>
    <col width="12" customWidth="1" min="4" max="4"/>
    <col width="12" customWidth="1" min="5" max="5"/>
    <col width="11" customWidth="1" min="6" max="6"/>
    <col width="10" customWidth="1" min="7" max="7"/>
    <col width="10" customWidth="1" min="8" max="8"/>
    <col width="12" customWidth="1" min="9" max="9"/>
    <col width="11" customWidth="1" min="10" max="10"/>
    <col width="15" customWidth="1" min="11" max="11"/>
    <col width="17" customWidth="1" min="12" max="12"/>
    <col width="13" customWidth="1" min="13" max="13"/>
    <col width="14" customWidth="1" min="14" max="14"/>
    <col width="13" customWidth="1" min="15" max="15"/>
    <col width="14" customWidth="1" min="16" max="16"/>
    <col width="13" customWidth="1" min="17" max="17"/>
    <col width="32" customWidth="1" min="18" max="18"/>
  </cols>
  <sheetData>
    <row r="1" ht="24" customHeight="1">
      <c r="A1" s="1" t="inlineStr">
        <is>
          <t>Penalty Rates Roster – Australia (Illustrative Only – verify against the applicable modern award, enterprise agreement or employment contract)</t>
        </is>
      </c>
    </row>
    <row r="2" ht="32" customHeight="1">
      <c r="A2" s="2" t="inlineStr">
        <is>
          <t>Roster ID</t>
        </is>
      </c>
      <c r="B2" s="2" t="inlineStr">
        <is>
          <t>Employee</t>
        </is>
      </c>
      <c r="C2" s="2" t="inlineStr">
        <is>
          <t>Role</t>
        </is>
      </c>
      <c r="D2" s="2" t="inlineStr">
        <is>
          <t>Location</t>
        </is>
      </c>
      <c r="E2" s="2" t="inlineStr">
        <is>
          <t>Shift Date</t>
        </is>
      </c>
      <c r="F2" s="2" t="inlineStr">
        <is>
          <t>Day</t>
        </is>
      </c>
      <c r="G2" s="2" t="inlineStr">
        <is>
          <t>Start Time</t>
        </is>
      </c>
      <c r="H2" s="2" t="inlineStr">
        <is>
          <t>Finish Time</t>
        </is>
      </c>
      <c r="I2" s="2" t="inlineStr">
        <is>
          <t>Break (Hours)</t>
        </is>
      </c>
      <c r="J2" s="2" t="inlineStr">
        <is>
          <t>Paid Hours</t>
        </is>
      </c>
      <c r="K2" s="2" t="inlineStr">
        <is>
          <t>Base Hourly Rate</t>
        </is>
      </c>
      <c r="L2" s="2" t="inlineStr">
        <is>
          <t>Penalty Type</t>
        </is>
      </c>
      <c r="M2" s="2" t="inlineStr">
        <is>
          <t>Penalty Rate %</t>
        </is>
      </c>
      <c r="N2" s="2" t="inlineStr">
        <is>
          <t>Penalty Multiplier</t>
        </is>
      </c>
      <c r="O2" s="2" t="inlineStr">
        <is>
          <t>Ordinary Pay</t>
        </is>
      </c>
      <c r="P2" s="2" t="inlineStr">
        <is>
          <t>Penalty Loading</t>
        </is>
      </c>
      <c r="Q2" s="2" t="inlineStr">
        <is>
          <t>Gross Pay</t>
        </is>
      </c>
      <c r="R2" s="2" t="inlineStr">
        <is>
          <t>Notes</t>
        </is>
      </c>
    </row>
    <row r="3">
      <c r="A3" s="3" t="inlineStr">
        <is>
          <t>R-001</t>
        </is>
      </c>
      <c r="B3" s="4" t="inlineStr">
        <is>
          <t>Jack</t>
        </is>
      </c>
      <c r="C3" s="4" t="inlineStr">
        <is>
          <t>Barista</t>
        </is>
      </c>
      <c r="D3" s="4" t="inlineStr">
        <is>
          <t>Sydney</t>
        </is>
      </c>
      <c r="E3" s="36" t="n">
        <v>46237</v>
      </c>
      <c r="F3" s="3">
        <f>TEXT(E3,"dddd")</f>
        <v/>
      </c>
      <c r="G3" s="37" t="n">
        <v>0.25</v>
      </c>
      <c r="H3" s="37" t="n">
        <v>0.5833333333333334</v>
      </c>
      <c r="I3" s="7" t="n">
        <v>0.5</v>
      </c>
      <c r="J3" s="8">
        <f>MOD(H3-G3,1)*24-I3</f>
        <v/>
      </c>
      <c r="K3" s="38" t="n">
        <v>32.5</v>
      </c>
      <c r="L3" s="4" t="inlineStr">
        <is>
          <t>Early Morning</t>
        </is>
      </c>
      <c r="M3" s="10">
        <f>IFERROR(VLOOKUP(L3,'Penalty Rates'!$A$2:$D$7,3,FALSE),0)</f>
        <v/>
      </c>
      <c r="N3" s="39">
        <f>IFERROR(VLOOKUP(L3,'Penalty Rates'!$A$2:$D$7,4,FALSE),1)</f>
        <v/>
      </c>
      <c r="O3" s="40">
        <f>J3*K3</f>
        <v/>
      </c>
      <c r="P3" s="40">
        <f>O3*(M3/100)</f>
        <v/>
      </c>
      <c r="Q3" s="40">
        <f>O3+P3</f>
        <v/>
      </c>
      <c r="R3" s="4" t="inlineStr">
        <is>
          <t>Early start for morning rush</t>
        </is>
      </c>
    </row>
    <row r="4">
      <c r="A4" s="13" t="inlineStr">
        <is>
          <t>R-002</t>
        </is>
      </c>
      <c r="B4" s="4" t="inlineStr">
        <is>
          <t>Olivia</t>
        </is>
      </c>
      <c r="C4" s="4" t="inlineStr">
        <is>
          <t>Registered Nurse</t>
        </is>
      </c>
      <c r="D4" s="4" t="inlineStr">
        <is>
          <t>Melbourne</t>
        </is>
      </c>
      <c r="E4" s="36" t="n">
        <v>46238</v>
      </c>
      <c r="F4" s="13">
        <f>TEXT(E4,"dddd")</f>
        <v/>
      </c>
      <c r="G4" s="37" t="n">
        <v>0.9166666666666666</v>
      </c>
      <c r="H4" s="37" t="n">
        <v>0.25</v>
      </c>
      <c r="I4" s="7" t="n">
        <v>0.5</v>
      </c>
      <c r="J4" s="14">
        <f>MOD(H4-G4,1)*24-I4</f>
        <v/>
      </c>
      <c r="K4" s="38" t="n">
        <v>38</v>
      </c>
      <c r="L4" s="4" t="inlineStr">
        <is>
          <t>Late Night</t>
        </is>
      </c>
      <c r="M4" s="15">
        <f>IFERROR(VLOOKUP(L4,'Penalty Rates'!$A$2:$D$7,3,FALSE),0)</f>
        <v/>
      </c>
      <c r="N4" s="41">
        <f>IFERROR(VLOOKUP(L4,'Penalty Rates'!$A$2:$D$7,4,FALSE),1)</f>
        <v/>
      </c>
      <c r="O4" s="42">
        <f>J4*K4</f>
        <v/>
      </c>
      <c r="P4" s="42">
        <f>O4*(M4/100)</f>
        <v/>
      </c>
      <c r="Q4" s="42">
        <f>O4+P4</f>
        <v/>
      </c>
      <c r="R4" s="4" t="inlineStr">
        <is>
          <t>Overnight ward coverage</t>
        </is>
      </c>
    </row>
    <row r="5">
      <c r="A5" s="3" t="inlineStr">
        <is>
          <t>R-003</t>
        </is>
      </c>
      <c r="B5" s="4" t="inlineStr">
        <is>
          <t>Liam</t>
        </is>
      </c>
      <c r="C5" s="4" t="inlineStr">
        <is>
          <t>Retail Assistant</t>
        </is>
      </c>
      <c r="D5" s="4" t="inlineStr">
        <is>
          <t>Brisbane</t>
        </is>
      </c>
      <c r="E5" s="36" t="n">
        <v>46239</v>
      </c>
      <c r="F5" s="3">
        <f>TEXT(E5,"dddd")</f>
        <v/>
      </c>
      <c r="G5" s="37" t="n">
        <v>0.375</v>
      </c>
      <c r="H5" s="37" t="n">
        <v>0.7083333333333334</v>
      </c>
      <c r="I5" s="7" t="n">
        <v>0.5</v>
      </c>
      <c r="J5" s="8">
        <f>MOD(H5-G5,1)*24-I5</f>
        <v/>
      </c>
      <c r="K5" s="38" t="n">
        <v>28.75</v>
      </c>
      <c r="L5" s="4" t="inlineStr">
        <is>
          <t>Ordinary Weekday</t>
        </is>
      </c>
      <c r="M5" s="10">
        <f>IFERROR(VLOOKUP(L5,'Penalty Rates'!$A$2:$D$7,3,FALSE),0)</f>
        <v/>
      </c>
      <c r="N5" s="39">
        <f>IFERROR(VLOOKUP(L5,'Penalty Rates'!$A$2:$D$7,4,FALSE),1)</f>
        <v/>
      </c>
      <c r="O5" s="40">
        <f>J5*K5</f>
        <v/>
      </c>
      <c r="P5" s="40">
        <f>O5*(M5/100)</f>
        <v/>
      </c>
      <c r="Q5" s="40">
        <f>O5+P5</f>
        <v/>
      </c>
      <c r="R5" s="4" t="inlineStr">
        <is>
          <t>Standard weekday trade</t>
        </is>
      </c>
    </row>
    <row r="6">
      <c r="A6" s="13" t="inlineStr">
        <is>
          <t>R-004</t>
        </is>
      </c>
      <c r="B6" s="4" t="inlineStr">
        <is>
          <t>Charlotte</t>
        </is>
      </c>
      <c r="C6" s="4" t="inlineStr">
        <is>
          <t>Chef</t>
        </is>
      </c>
      <c r="D6" s="4" t="inlineStr">
        <is>
          <t>Perth</t>
        </is>
      </c>
      <c r="E6" s="36" t="n">
        <v>46240</v>
      </c>
      <c r="F6" s="13">
        <f>TEXT(E6,"dddd")</f>
        <v/>
      </c>
      <c r="G6" s="37" t="n">
        <v>0.4166666666666667</v>
      </c>
      <c r="H6" s="37" t="n">
        <v>0.7708333333333334</v>
      </c>
      <c r="I6" s="7" t="n">
        <v>0.75</v>
      </c>
      <c r="J6" s="14">
        <f>MOD(H6-G6,1)*24-I6</f>
        <v/>
      </c>
      <c r="K6" s="38" t="n">
        <v>34.25</v>
      </c>
      <c r="L6" s="4" t="inlineStr">
        <is>
          <t>Ordinary Weekday</t>
        </is>
      </c>
      <c r="M6" s="15">
        <f>IFERROR(VLOOKUP(L6,'Penalty Rates'!$A$2:$D$7,3,FALSE),0)</f>
        <v/>
      </c>
      <c r="N6" s="41">
        <f>IFERROR(VLOOKUP(L6,'Penalty Rates'!$A$2:$D$7,4,FALSE),1)</f>
        <v/>
      </c>
      <c r="O6" s="42">
        <f>J6*K6</f>
        <v/>
      </c>
      <c r="P6" s="42">
        <f>O6*(M6/100)</f>
        <v/>
      </c>
      <c r="Q6" s="42">
        <f>O6+P6</f>
        <v/>
      </c>
      <c r="R6" s="4" t="inlineStr">
        <is>
          <t>Lunch and dinner service</t>
        </is>
      </c>
    </row>
    <row r="7">
      <c r="A7" s="3" t="inlineStr">
        <is>
          <t>R-005</t>
        </is>
      </c>
      <c r="B7" s="4" t="inlineStr">
        <is>
          <t>Noah</t>
        </is>
      </c>
      <c r="C7" s="4" t="inlineStr">
        <is>
          <t>Bar Manager</t>
        </is>
      </c>
      <c r="D7" s="4" t="inlineStr">
        <is>
          <t>Sydney</t>
        </is>
      </c>
      <c r="E7" s="36" t="n">
        <v>46241</v>
      </c>
      <c r="F7" s="3">
        <f>TEXT(E7,"dddd")</f>
        <v/>
      </c>
      <c r="G7" s="37" t="n">
        <v>0.6666666666666666</v>
      </c>
      <c r="H7" s="37" t="n">
        <v>0.02083333333333333</v>
      </c>
      <c r="I7" s="7" t="n">
        <v>0.5</v>
      </c>
      <c r="J7" s="8">
        <f>MOD(H7-G7,1)*24-I7</f>
        <v/>
      </c>
      <c r="K7" s="38" t="n">
        <v>36.5</v>
      </c>
      <c r="L7" s="4" t="inlineStr">
        <is>
          <t>Late Night</t>
        </is>
      </c>
      <c r="M7" s="10">
        <f>IFERROR(VLOOKUP(L7,'Penalty Rates'!$A$2:$D$7,3,FALSE),0)</f>
        <v/>
      </c>
      <c r="N7" s="39">
        <f>IFERROR(VLOOKUP(L7,'Penalty Rates'!$A$2:$D$7,4,FALSE),1)</f>
        <v/>
      </c>
      <c r="O7" s="40">
        <f>J7*K7</f>
        <v/>
      </c>
      <c r="P7" s="40">
        <f>O7*(M7/100)</f>
        <v/>
      </c>
      <c r="Q7" s="40">
        <f>O7+P7</f>
        <v/>
      </c>
      <c r="R7" s="4" t="inlineStr">
        <is>
          <t>Late-night venue close</t>
        </is>
      </c>
    </row>
    <row r="8">
      <c r="A8" s="13" t="inlineStr">
        <is>
          <t>R-006</t>
        </is>
      </c>
      <c r="B8" s="4" t="inlineStr">
        <is>
          <t>Mia</t>
        </is>
      </c>
      <c r="C8" s="4" t="inlineStr">
        <is>
          <t>Waitstaff</t>
        </is>
      </c>
      <c r="D8" s="4" t="inlineStr">
        <is>
          <t>Adelaide</t>
        </is>
      </c>
      <c r="E8" s="36" t="n">
        <v>46242</v>
      </c>
      <c r="F8" s="13">
        <f>TEXT(E8,"dddd")</f>
        <v/>
      </c>
      <c r="G8" s="37" t="n">
        <v>0.3333333333333333</v>
      </c>
      <c r="H8" s="37" t="n">
        <v>0.6666666666666666</v>
      </c>
      <c r="I8" s="7" t="n">
        <v>0.5</v>
      </c>
      <c r="J8" s="14">
        <f>MOD(H8-G8,1)*24-I8</f>
        <v/>
      </c>
      <c r="K8" s="38" t="n">
        <v>27.5</v>
      </c>
      <c r="L8" s="4" t="inlineStr">
        <is>
          <t>Saturday</t>
        </is>
      </c>
      <c r="M8" s="15">
        <f>IFERROR(VLOOKUP(L8,'Penalty Rates'!$A$2:$D$7,3,FALSE),0)</f>
        <v/>
      </c>
      <c r="N8" s="41">
        <f>IFERROR(VLOOKUP(L8,'Penalty Rates'!$A$2:$D$7,4,FALSE),1)</f>
        <v/>
      </c>
      <c r="O8" s="42">
        <f>J8*K8</f>
        <v/>
      </c>
      <c r="P8" s="42">
        <f>O8*(M8/100)</f>
        <v/>
      </c>
      <c r="Q8" s="42">
        <f>O8+P8</f>
        <v/>
      </c>
      <c r="R8" s="4" t="inlineStr">
        <is>
          <t>Weekend brunch service</t>
        </is>
      </c>
    </row>
    <row r="9">
      <c r="A9" s="3" t="inlineStr">
        <is>
          <t>R-007</t>
        </is>
      </c>
      <c r="B9" s="4" t="inlineStr">
        <is>
          <t>Ethan</t>
        </is>
      </c>
      <c r="C9" s="4" t="inlineStr">
        <is>
          <t>Security Officer</t>
        </is>
      </c>
      <c r="D9" s="4" t="inlineStr">
        <is>
          <t>Gold Coast</t>
        </is>
      </c>
      <c r="E9" s="36" t="n">
        <v>46242</v>
      </c>
      <c r="F9" s="3">
        <f>TEXT(E9,"dddd")</f>
        <v/>
      </c>
      <c r="G9" s="37" t="n">
        <v>0.75</v>
      </c>
      <c r="H9" s="37" t="n">
        <v>0.08333333333333333</v>
      </c>
      <c r="I9" s="7" t="n">
        <v>0.5</v>
      </c>
      <c r="J9" s="8">
        <f>MOD(H9-G9,1)*24-I9</f>
        <v/>
      </c>
      <c r="K9" s="38" t="n">
        <v>31</v>
      </c>
      <c r="L9" s="4" t="inlineStr">
        <is>
          <t>Public Holiday</t>
        </is>
      </c>
      <c r="M9" s="10">
        <f>IFERROR(VLOOKUP(L9,'Penalty Rates'!$A$2:$D$7,3,FALSE),0)</f>
        <v/>
      </c>
      <c r="N9" s="39">
        <f>IFERROR(VLOOKUP(L9,'Penalty Rates'!$A$2:$D$7,4,FALSE),1)</f>
        <v/>
      </c>
      <c r="O9" s="40">
        <f>J9*K9</f>
        <v/>
      </c>
      <c r="P9" s="40">
        <f>O9*(M9/100)</f>
        <v/>
      </c>
      <c r="Q9" s="40">
        <f>O9+P9</f>
        <v/>
      </c>
      <c r="R9" s="4" t="inlineStr">
        <is>
          <t>Illustrative public holiday event</t>
        </is>
      </c>
    </row>
    <row r="10">
      <c r="A10" s="13" t="inlineStr">
        <is>
          <t>R-008</t>
        </is>
      </c>
      <c r="B10" s="4" t="inlineStr">
        <is>
          <t>Ruby</t>
        </is>
      </c>
      <c r="C10" s="4" t="inlineStr">
        <is>
          <t>Retail Supervisor</t>
        </is>
      </c>
      <c r="D10" s="4" t="inlineStr">
        <is>
          <t>Melbourne</t>
        </is>
      </c>
      <c r="E10" s="36" t="n">
        <v>46243</v>
      </c>
      <c r="F10" s="13">
        <f>TEXT(E10,"dddd")</f>
        <v/>
      </c>
      <c r="G10" s="37" t="n">
        <v>0.3958333333333333</v>
      </c>
      <c r="H10" s="37" t="n">
        <v>0.7291666666666666</v>
      </c>
      <c r="I10" s="7" t="n">
        <v>0.5</v>
      </c>
      <c r="J10" s="14">
        <f>MOD(H10-G10,1)*24-I10</f>
        <v/>
      </c>
      <c r="K10" s="38" t="n">
        <v>33.75</v>
      </c>
      <c r="L10" s="4" t="inlineStr">
        <is>
          <t>Sunday</t>
        </is>
      </c>
      <c r="M10" s="15">
        <f>IFERROR(VLOOKUP(L10,'Penalty Rates'!$A$2:$D$7,3,FALSE),0)</f>
        <v/>
      </c>
      <c r="N10" s="41">
        <f>IFERROR(VLOOKUP(L10,'Penalty Rates'!$A$2:$D$7,4,FALSE),1)</f>
        <v/>
      </c>
      <c r="O10" s="42">
        <f>J10*K10</f>
        <v/>
      </c>
      <c r="P10" s="42">
        <f>O10*(M10/100)</f>
        <v/>
      </c>
      <c r="Q10" s="42">
        <f>O10+P10</f>
        <v/>
      </c>
      <c r="R10" s="4" t="inlineStr">
        <is>
          <t>Sunday trade supervision</t>
        </is>
      </c>
    </row>
    <row r="11">
      <c r="A11" s="3" t="inlineStr">
        <is>
          <t>R-009</t>
        </is>
      </c>
      <c r="B11" s="4" t="inlineStr">
        <is>
          <t>Cooper</t>
        </is>
      </c>
      <c r="C11" s="4" t="inlineStr">
        <is>
          <t>Kitchen Hand</t>
        </is>
      </c>
      <c r="D11" s="4" t="inlineStr">
        <is>
          <t>Brisbane</t>
        </is>
      </c>
      <c r="E11" s="36" t="n">
        <v>46243</v>
      </c>
      <c r="F11" s="3">
        <f>TEXT(E11,"dddd")</f>
        <v/>
      </c>
      <c r="G11" s="37" t="n">
        <v>0.4583333333333333</v>
      </c>
      <c r="H11" s="37" t="n">
        <v>0.7916666666666666</v>
      </c>
      <c r="I11" s="7" t="n">
        <v>0.25</v>
      </c>
      <c r="J11" s="8">
        <f>MOD(H11-G11,1)*24-I11</f>
        <v/>
      </c>
      <c r="K11" s="38" t="n">
        <v>29</v>
      </c>
      <c r="L11" s="4" t="inlineStr">
        <is>
          <t>Sunday</t>
        </is>
      </c>
      <c r="M11" s="10">
        <f>IFERROR(VLOOKUP(L11,'Penalty Rates'!$A$2:$D$7,3,FALSE),0)</f>
        <v/>
      </c>
      <c r="N11" s="39">
        <f>IFERROR(VLOOKUP(L11,'Penalty Rates'!$A$2:$D$7,4,FALSE),1)</f>
        <v/>
      </c>
      <c r="O11" s="40">
        <f>J11*K11</f>
        <v/>
      </c>
      <c r="P11" s="40">
        <f>O11*(M11/100)</f>
        <v/>
      </c>
      <c r="Q11" s="40">
        <f>O11+P11</f>
        <v/>
      </c>
      <c r="R11" s="4" t="inlineStr">
        <is>
          <t>Sunday kitchen support</t>
        </is>
      </c>
    </row>
    <row r="12">
      <c r="A12" s="18" t="inlineStr">
        <is>
          <t>TOTALS</t>
        </is>
      </c>
      <c r="B12" s="18" t="n"/>
      <c r="C12" s="18" t="n"/>
      <c r="D12" s="18" t="n"/>
      <c r="E12" s="18" t="n"/>
      <c r="F12" s="18" t="n"/>
      <c r="G12" s="18" t="n"/>
      <c r="H12" s="18" t="n"/>
      <c r="I12" s="18" t="inlineStr">
        <is>
          <t>Avg Rate:</t>
        </is>
      </c>
      <c r="J12" s="19">
        <f>SUM(J3:J11)</f>
        <v/>
      </c>
      <c r="K12" s="43">
        <f>AVERAGE(K3:K11)</f>
        <v/>
      </c>
      <c r="L12" s="18" t="n"/>
      <c r="M12" s="18" t="n"/>
      <c r="N12" s="18" t="n"/>
      <c r="O12" s="43">
        <f>SUM(O3:O11)</f>
        <v/>
      </c>
      <c r="P12" s="43">
        <f>SUM(P3:P11)</f>
        <v/>
      </c>
      <c r="Q12" s="43">
        <f>SUM(Q3:Q11)</f>
        <v/>
      </c>
      <c r="R12" s="18" t="n"/>
    </row>
  </sheetData>
  <mergeCells count="1">
    <mergeCell ref="A1:R1"/>
  </mergeCells>
  <conditionalFormatting sqref="A3:R11">
    <cfRule type="expression" priority="1" dxfId="0" stopIfTrue="1">
      <formula>OR($L3="Saturday",$L3="Sunday",$L3="Public Holiday")</formula>
    </cfRule>
    <cfRule type="expression" priority="2" dxfId="1" stopIfTrue="1">
      <formula>OR($J3&gt;8,$K3="",L3="",$B3="")</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20" customWidth="1" min="1" max="1"/>
    <col width="28" customWidth="1" min="2" max="2"/>
    <col width="15" customWidth="1" min="3" max="3"/>
    <col width="12" customWidth="1" min="4" max="4"/>
    <col width="38" customWidth="1" min="5" max="5"/>
  </cols>
  <sheetData>
    <row r="1" ht="30" customHeight="1">
      <c r="A1" s="21" t="inlineStr">
        <is>
          <t>Penalty Rates Reference – Illustrative planning rates only — verify against the applicable modern award, enterprise agreement or employment contract and Fair Work requirements.</t>
        </is>
      </c>
    </row>
    <row r="2">
      <c r="A2" s="2" t="inlineStr">
        <is>
          <t>Penalty Type</t>
        </is>
      </c>
      <c r="B2" s="2" t="inlineStr">
        <is>
          <t>Description</t>
        </is>
      </c>
      <c r="C2" s="2" t="inlineStr">
        <is>
          <t>Penalty Rate %</t>
        </is>
      </c>
      <c r="D2" s="2" t="inlineStr">
        <is>
          <t>Multiplier</t>
        </is>
      </c>
      <c r="E2" s="2" t="inlineStr">
        <is>
          <t>Typical Application</t>
        </is>
      </c>
    </row>
    <row r="3">
      <c r="A3" s="22" t="inlineStr">
        <is>
          <t>Ordinary Weekday</t>
        </is>
      </c>
      <c r="B3" s="22" t="inlineStr">
        <is>
          <t>Standard hours</t>
        </is>
      </c>
      <c r="C3" s="10" t="n">
        <v>0</v>
      </c>
      <c r="D3" s="39" t="n">
        <v>1</v>
      </c>
      <c r="E3" s="22" t="inlineStr">
        <is>
          <t>Monday to Friday standard shifts</t>
        </is>
      </c>
    </row>
    <row r="4">
      <c r="A4" s="23" t="inlineStr">
        <is>
          <t>Saturday</t>
        </is>
      </c>
      <c r="B4" s="23" t="inlineStr">
        <is>
          <t>Saturday work</t>
        </is>
      </c>
      <c r="C4" s="15" t="n">
        <v>25</v>
      </c>
      <c r="D4" s="41" t="n">
        <v>1.25</v>
      </c>
      <c r="E4" s="23" t="inlineStr">
        <is>
          <t>Saturday rostered shifts</t>
        </is>
      </c>
    </row>
    <row r="5">
      <c r="A5" s="22" t="inlineStr">
        <is>
          <t>Sunday</t>
        </is>
      </c>
      <c r="B5" s="22" t="inlineStr">
        <is>
          <t>Sunday work</t>
        </is>
      </c>
      <c r="C5" s="10" t="n">
        <v>50</v>
      </c>
      <c r="D5" s="39" t="n">
        <v>1.5</v>
      </c>
      <c r="E5" s="22" t="inlineStr">
        <is>
          <t>Sunday rostered shifts</t>
        </is>
      </c>
    </row>
    <row r="6">
      <c r="A6" s="23" t="inlineStr">
        <is>
          <t>Public Holiday</t>
        </is>
      </c>
      <c r="B6" s="23" t="inlineStr">
        <is>
          <t>Public holiday work</t>
        </is>
      </c>
      <c r="C6" s="15" t="n">
        <v>100</v>
      </c>
      <c r="D6" s="41" t="n">
        <v>2</v>
      </c>
      <c r="E6" s="23" t="inlineStr">
        <is>
          <t>Gazetted public holidays</t>
        </is>
      </c>
    </row>
    <row r="7">
      <c r="A7" s="22" t="inlineStr">
        <is>
          <t>Late Night</t>
        </is>
      </c>
      <c r="B7" s="22" t="inlineStr">
        <is>
          <t>Approved late-night shift</t>
        </is>
      </c>
      <c r="C7" s="10" t="n">
        <v>15</v>
      </c>
      <c r="D7" s="39" t="n">
        <v>1.15</v>
      </c>
      <c r="E7" s="22" t="inlineStr">
        <is>
          <t>Shifts finishing after midnight</t>
        </is>
      </c>
    </row>
    <row r="8">
      <c r="A8" s="23" t="inlineStr">
        <is>
          <t>Early Morning</t>
        </is>
      </c>
      <c r="B8" s="23" t="inlineStr">
        <is>
          <t>Approved early-morning shift</t>
        </is>
      </c>
      <c r="C8" s="15" t="n">
        <v>15</v>
      </c>
      <c r="D8" s="41" t="n">
        <v>1.15</v>
      </c>
      <c r="E8" s="23" t="inlineStr">
        <is>
          <t>Shifts starting before 7am</t>
        </is>
      </c>
    </row>
  </sheetData>
  <mergeCells count="1">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32" customWidth="1" min="1" max="1"/>
    <col width="16" customWidth="1" min="2" max="2"/>
  </cols>
  <sheetData>
    <row r="1">
      <c r="A1" s="1" t="inlineStr">
        <is>
          <t>Roster Summary Dashboard – Week Commencing 03/08/2026 (Illustrative Only)</t>
        </is>
      </c>
    </row>
    <row r="2"/>
    <row r="3">
      <c r="A3" s="24" t="inlineStr">
        <is>
          <t>Total Rostered Hours</t>
        </is>
      </c>
      <c r="B3" s="25">
        <f>SUM('Roster &amp; Pay'!J3:J11)</f>
        <v/>
      </c>
    </row>
    <row r="4">
      <c r="A4" s="24" t="inlineStr">
        <is>
          <t>Total Ordinary Pay</t>
        </is>
      </c>
      <c r="B4" s="44">
        <f>SUM('Roster &amp; Pay'!O3:O11)</f>
        <v/>
      </c>
    </row>
    <row r="5">
      <c r="A5" s="24" t="inlineStr">
        <is>
          <t>Total Penalty Loading</t>
        </is>
      </c>
      <c r="B5" s="45">
        <f>SUM('Roster &amp; Pay'!P3:P11)</f>
        <v/>
      </c>
    </row>
    <row r="6">
      <c r="A6" s="24" t="inlineStr">
        <is>
          <t>Total Gross Pay</t>
        </is>
      </c>
      <c r="B6" s="44">
        <f>SUM('Roster &amp; Pay'!Q3:Q11)</f>
        <v/>
      </c>
    </row>
    <row r="7">
      <c r="A7" s="24" t="inlineStr">
        <is>
          <t>Average Gross Pay per Shift</t>
        </is>
      </c>
      <c r="B7" s="44">
        <f>AVERAGE('Roster &amp; Pay'!Q3:Q11)</f>
        <v/>
      </c>
    </row>
    <row r="8">
      <c r="A8" s="24" t="inlineStr">
        <is>
          <t>Weekend / Public Holiday Shifts</t>
        </is>
      </c>
      <c r="B8" s="28">
        <f>COUNTIF('Roster &amp; Pay'!L3:L11,"Saturday")+COUNTIF('Roster &amp; Pay'!L3:L11,"Sunday")+COUNTIF('Roster &amp; Pay'!L3:L11,"Public Holiday")</f>
        <v/>
      </c>
    </row>
    <row r="9">
      <c r="A9" s="24" t="inlineStr">
        <is>
          <t>Penalty Loading % of Ordinary Pay</t>
        </is>
      </c>
      <c r="B9" s="46">
        <f>IF(SUM('Roster &amp; Pay'!O3:O11)=0,0,SUM('Roster &amp; Pay'!P3:P11)/SUM('Roster &amp; Pay'!O3:O11))</f>
        <v/>
      </c>
    </row>
    <row r="10"/>
    <row r="11"/>
    <row r="12">
      <c r="A12" s="30" t="inlineStr">
        <is>
          <t>Gross Pay by Penalty Type</t>
        </is>
      </c>
    </row>
    <row r="13">
      <c r="A13" s="31" t="inlineStr">
        <is>
          <t>Penalty Type</t>
        </is>
      </c>
      <c r="B13" s="31" t="inlineStr">
        <is>
          <t>Gross Pay</t>
        </is>
      </c>
    </row>
    <row r="14">
      <c r="A14" s="32" t="inlineStr">
        <is>
          <t>Ordinary Weekday</t>
        </is>
      </c>
      <c r="B14" s="47">
        <f>SUMIF('Roster &amp; Pay'!$L$3:$L$11,A14,'Roster &amp; Pay'!$Q$3:$Q$11)</f>
        <v/>
      </c>
    </row>
    <row r="15">
      <c r="A15" s="32" t="inlineStr">
        <is>
          <t>Saturday</t>
        </is>
      </c>
      <c r="B15" s="47">
        <f>SUMIF('Roster &amp; Pay'!$L$3:$L$11,A15,'Roster &amp; Pay'!$Q$3:$Q$11)</f>
        <v/>
      </c>
    </row>
    <row r="16">
      <c r="A16" s="32" t="inlineStr">
        <is>
          <t>Sunday</t>
        </is>
      </c>
      <c r="B16" s="47">
        <f>SUMIF('Roster &amp; Pay'!$L$3:$L$11,A16,'Roster &amp; Pay'!$Q$3:$Q$11)</f>
        <v/>
      </c>
    </row>
    <row r="17">
      <c r="A17" s="32" t="inlineStr">
        <is>
          <t>Public Holiday</t>
        </is>
      </c>
      <c r="B17" s="47">
        <f>SUMIF('Roster &amp; Pay'!$L$3:$L$11,A17,'Roster &amp; Pay'!$Q$3:$Q$11)</f>
        <v/>
      </c>
    </row>
    <row r="18">
      <c r="A18" s="32" t="inlineStr">
        <is>
          <t>Late Night</t>
        </is>
      </c>
      <c r="B18" s="47">
        <f>SUMIF('Roster &amp; Pay'!$L$3:$L$11,A18,'Roster &amp; Pay'!$Q$3:$Q$11)</f>
        <v/>
      </c>
    </row>
    <row r="19">
      <c r="A19" s="32" t="inlineStr">
        <is>
          <t>Early Morning</t>
        </is>
      </c>
      <c r="B19" s="47">
        <f>SUMIF('Roster &amp; Pay'!$L$3:$L$11,A19,'Roster &amp; Pay'!$Q$3:$Q$11)</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10" customWidth="1" min="1" max="1"/>
  </cols>
  <sheetData>
    <row r="1">
      <c r="A1" s="34" t="inlineStr">
        <is>
          <t>Penalty Rates Roster – Australia: Instructions</t>
        </is>
      </c>
    </row>
    <row r="2">
      <c r="A2" s="35" t="inlineStr"/>
    </row>
    <row r="3">
      <c r="A3" s="35" t="inlineStr">
        <is>
          <t>1. Roster &amp; Pay — Enter one row per shift. Pale yellow cells are editable inputs: employee, role, location, shift date, start/finish times, break hours, base hourly rate, penalty type and notes.</t>
        </is>
      </c>
    </row>
    <row r="4">
      <c r="A4" s="35" t="inlineStr">
        <is>
          <t>2. Day, Paid Hours, Penalty Rate %, Penalty Multiplier, Ordinary Pay, Penalty Loading and Gross Pay are calculated automatically. Paid Hours uses MOD to support shifts finishing after midnight.</t>
        </is>
      </c>
    </row>
    <row r="5">
      <c r="A5" s="35" t="inlineStr">
        <is>
          <t>3. Penalty Rates — Reference table used by the roster VLOOKUPs. Values are ILLUSTRATIVE ONLY. Actual penalty rates depend on the applicable modern award, enterprise agreement or employment contract and Fair Work requirements. Verify before use.</t>
        </is>
      </c>
    </row>
    <row r="6">
      <c r="A6" s="35" t="inlineStr">
        <is>
          <t>4. Summary Dashboard — Key labour cost metrics (total hours, ordinary pay, penalty loading, gross pay, penalty loading %) plus charts of gross pay by employee and by penalty type.</t>
        </is>
      </c>
    </row>
    <row r="7">
      <c r="A7" s="35" t="inlineStr">
        <is>
          <t>5. Conditional formatting: green rows = weekend/public holiday penalty shifts; red rows = unusually long shifts (over 8 paid hours) or missing inputs.</t>
        </is>
      </c>
    </row>
    <row r="8">
      <c r="A8" s="35" t="inlineStr">
        <is>
          <t>6. Dates are DD/MM/YYYY and currency is AUD ($). Gross pay figures exclude superannuation, PAYG withholding and leave entitlements — check Fair Work obligations for full compliance.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2026-08-01T03:25:14Z</dcterms:created>
  <dcterms:modified xmlns:dcterms="http://purl.org/dc/terms/" xmlns:xsi="http://www.w3.org/2001/XMLSchema-instance" xsi:type="dcterms:W3CDTF">2026-08-01T03:25:14Z</dcterms:modified>
</cp:coreProperties>
</file>