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ssion Calculator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$#,##0.00"/>
    <numFmt numFmtId="166" formatCode="$#,##0"/>
  </numFmts>
  <fonts count="8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6B7280"/>
      <sz val="9"/>
    </font>
    <font>
      <name val="Calibri"/>
      <b val="1"/>
      <color rgb="00FFFFFF"/>
      <sz val="11"/>
    </font>
    <font>
      <name val="Calibri"/>
      <b val="1"/>
      <color rgb="001F2937"/>
      <sz val="10.5"/>
    </font>
    <font>
      <name val="Calibri"/>
      <color rgb="001F2937"/>
      <sz val="10.5"/>
    </font>
    <font>
      <name val="Calibri"/>
      <b val="1"/>
      <color rgb="00FFFFFF"/>
      <sz val="10.5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14B8A6"/>
        <bgColor rgb="0014B8A6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/>
    </xf>
    <xf numFmtId="164" fontId="5" fillId="4" borderId="1" applyAlignment="1" pivotButton="0" quotePrefix="0" xfId="0">
      <alignment horizontal="left" vertical="center"/>
    </xf>
    <xf numFmtId="165" fontId="5" fillId="5" borderId="1" applyAlignment="1" pivotButton="0" quotePrefix="0" xfId="0">
      <alignment horizontal="right" vertical="center"/>
    </xf>
    <xf numFmtId="10" fontId="5" fillId="4" borderId="1" applyAlignment="1" pivotButton="0" quotePrefix="0" xfId="0">
      <alignment horizontal="center" vertical="center" wrapText="1"/>
    </xf>
    <xf numFmtId="165" fontId="5" fillId="4" borderId="1" applyAlignment="1" pivotButton="0" quotePrefix="0" xfId="0">
      <alignment horizontal="right" vertical="center"/>
    </xf>
    <xf numFmtId="9" fontId="5" fillId="5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/>
    </xf>
    <xf numFmtId="164" fontId="5" fillId="6" borderId="1" applyAlignment="1" pivotButton="0" quotePrefix="0" xfId="0">
      <alignment horizontal="left" vertical="center"/>
    </xf>
    <xf numFmtId="10" fontId="5" fillId="6" borderId="1" applyAlignment="1" pivotButton="0" quotePrefix="0" xfId="0">
      <alignment horizontal="center" vertical="center" wrapText="1"/>
    </xf>
    <xf numFmtId="165" fontId="5" fillId="6" borderId="1" applyAlignment="1" pivotButton="0" quotePrefix="0" xfId="0">
      <alignment horizontal="right" vertical="center"/>
    </xf>
    <xf numFmtId="166" fontId="0" fillId="0" borderId="1" applyAlignment="1" pivotButton="0" quotePrefix="0" xfId="0">
      <alignment horizontal="right" vertical="center"/>
    </xf>
    <xf numFmtId="10" fontId="0" fillId="0" borderId="1" applyAlignment="1" pivotButton="0" quotePrefix="0" xfId="0">
      <alignment horizontal="right" vertical="center"/>
    </xf>
    <xf numFmtId="0" fontId="0" fillId="3" borderId="1" pivotButton="0" quotePrefix="0" xfId="0"/>
    <xf numFmtId="0" fontId="4" fillId="0" borderId="0" applyAlignment="1" pivotButton="0" quotePrefix="0" xfId="0">
      <alignment horizontal="center" vertical="center" wrapText="1"/>
    </xf>
    <xf numFmtId="165" fontId="6" fillId="3" borderId="1" applyAlignment="1" pivotButton="0" quotePrefix="0" xfId="0">
      <alignment horizontal="right" vertical="center"/>
    </xf>
    <xf numFmtId="10" fontId="6" fillId="3" borderId="1" applyAlignment="1" pivotButton="0" quotePrefix="0" xfId="0">
      <alignment horizontal="center" vertical="center" wrapText="1"/>
    </xf>
    <xf numFmtId="0" fontId="5" fillId="4" borderId="1" pivotButton="0" quotePrefix="0" xfId="0"/>
    <xf numFmtId="0" fontId="0" fillId="0" borderId="4" pivotButton="0" quotePrefix="0" xfId="0"/>
    <xf numFmtId="1" fontId="4" fillId="4" borderId="1" applyAlignment="1" pivotButton="0" quotePrefix="0" xfId="0">
      <alignment horizontal="right" vertical="center"/>
    </xf>
    <xf numFmtId="0" fontId="5" fillId="6" borderId="1" pivotButton="0" quotePrefix="0" xfId="0"/>
    <xf numFmtId="165" fontId="4" fillId="6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center" vertical="center" wrapText="1"/>
    </xf>
    <xf numFmtId="165" fontId="5" fillId="4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165" fontId="5" fillId="6" borderId="1" applyAlignment="1" pivotButton="0" quotePrefix="0" xfId="0">
      <alignment horizontal="center" vertical="center" wrapText="1"/>
    </xf>
    <xf numFmtId="10" fontId="4" fillId="4" borderId="1" applyAlignment="1" pivotButton="0" quotePrefix="0" xfId="0">
      <alignment horizontal="right" vertical="center"/>
    </xf>
    <xf numFmtId="0" fontId="7" fillId="3" borderId="0" pivotButton="0" quotePrefix="0" xfId="0"/>
    <xf numFmtId="1" fontId="7" fillId="3" borderId="1" applyAlignment="1" pivotButton="0" quotePrefix="0" xfId="0">
      <alignment horizontal="center" vertical="center" wrapText="1"/>
    </xf>
    <xf numFmtId="165" fontId="7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vertical="center" wrapText="1"/>
    </xf>
    <xf numFmtId="0" fontId="5" fillId="4" borderId="1" applyAlignment="1" pivotButton="0" quotePrefix="0" xfId="0">
      <alignment vertical="center" wrapText="1"/>
    </xf>
    <xf numFmtId="0" fontId="4" fillId="6" borderId="1" applyAlignment="1" pivotButton="0" quotePrefix="0" xfId="0">
      <alignment vertical="center" wrapText="1"/>
    </xf>
    <xf numFmtId="0" fontId="5" fillId="6" borderId="1" applyAlignment="1" pivotButton="0" quotePrefix="0" xfId="0">
      <alignment vertical="center" wrapText="1"/>
    </xf>
    <xf numFmtId="164" fontId="5" fillId="4" borderId="1" applyAlignment="1" pivotButton="0" quotePrefix="0" xfId="0">
      <alignment horizontal="left" vertical="center"/>
    </xf>
    <xf numFmtId="165" fontId="5" fillId="5" borderId="1" applyAlignment="1" pivotButton="0" quotePrefix="0" xfId="0">
      <alignment horizontal="right" vertical="center"/>
    </xf>
    <xf numFmtId="165" fontId="5" fillId="4" borderId="1" applyAlignment="1" pivotButton="0" quotePrefix="0" xfId="0">
      <alignment horizontal="right" vertical="center"/>
    </xf>
    <xf numFmtId="164" fontId="5" fillId="6" borderId="1" applyAlignment="1" pivotButton="0" quotePrefix="0" xfId="0">
      <alignment horizontal="left" vertical="center"/>
    </xf>
    <xf numFmtId="165" fontId="5" fillId="6" borderId="1" applyAlignment="1" pivotButton="0" quotePrefix="0" xfId="0">
      <alignment horizontal="right" vertical="center"/>
    </xf>
    <xf numFmtId="166" fontId="0" fillId="0" borderId="1" applyAlignment="1" pivotButton="0" quotePrefix="0" xfId="0">
      <alignment horizontal="right" vertical="center"/>
    </xf>
    <xf numFmtId="165" fontId="6" fillId="3" borderId="1" applyAlignment="1" pivotButton="0" quotePrefix="0" xfId="0">
      <alignment horizontal="right" vertical="center"/>
    </xf>
    <xf numFmtId="165" fontId="4" fillId="6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165" fontId="5" fillId="4" borderId="1" applyAlignment="1" pivotButton="0" quotePrefix="0" xfId="0">
      <alignment horizontal="center" vertical="center" wrapText="1"/>
    </xf>
    <xf numFmtId="165" fontId="5" fillId="6" borderId="1" applyAlignment="1" pivotButton="0" quotePrefix="0" xfId="0">
      <alignment horizontal="center" vertical="center" wrapText="1"/>
    </xf>
    <xf numFmtId="165" fontId="7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b val="1"/>
        <color rgb="00FFFFFF"/>
      </font>
      <fill>
        <patternFill patternType="solid">
          <fgColor rgb="0022C55E"/>
          <bgColor rgb="0022C55E"/>
        </patternFill>
      </fill>
    </dxf>
    <dxf>
      <font>
        <b val="1"/>
        <color rgb="00FFFFFF"/>
      </font>
      <fill>
        <patternFill patternType="solid">
          <fgColor rgb="00DC2626"/>
          <b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Commission by Suburb (incl GST)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'Dashboard'!D3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'Dashboard'!$A$4:$A$11</f>
            </numRef>
          </cat>
          <val>
            <numRef>
              <f>'Dashboard'!$D$4:$D$11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Suburb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Commission ($ AUD)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Sales Volume Share by Suburb</a:t>
            </a:r>
          </a:p>
        </rich>
      </tx>
    </title>
    <plotArea>
      <pieChart>
        <varyColors val="1"/>
        <ser>
          <idx val="0"/>
          <order val="0"/>
          <tx>
            <strRef>
              <f>'Dashboard'!C3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'Dashboard'!$A$4:$A$11</f>
            </numRef>
          </cat>
          <val>
            <numRef>
              <f>'Dashboard'!$C$4:$C$11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14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14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4" customWidth="1" min="3" max="3"/>
    <col width="18" customWidth="1" min="4" max="4"/>
    <col width="13" customWidth="1" min="5" max="5"/>
    <col width="15" customWidth="1" min="6" max="6"/>
    <col width="14" customWidth="1" min="7" max="7"/>
    <col width="16" customWidth="1" min="8" max="8"/>
    <col width="15" customWidth="1" min="9" max="9"/>
    <col width="16" customWidth="1" min="10" max="10"/>
    <col width="20" customWidth="1" min="11" max="11"/>
    <col width="20" customWidth="1" min="12" max="12"/>
    <col width="13" customWidth="1" min="13" max="13"/>
    <col width="15" customWidth="1" min="14" max="14"/>
    <col width="3" customWidth="1" min="15" max="15"/>
    <col width="16" customWidth="1" min="16" max="16"/>
    <col width="12" customWidth="1" min="17" max="17"/>
  </cols>
  <sheetData>
    <row r="1" ht="28" customHeight="1">
      <c r="A1" s="1" t="inlineStr">
        <is>
          <t>Real Estate Commission Calculator — Australia (AUD)</t>
        </is>
      </c>
    </row>
    <row r="2">
      <c r="A2" s="2" t="inlineStr">
        <is>
          <t>All figures in Australian Dollars (AUD). GST applied at 10% on commission. Rates auto-calculated via sale price tier lookup.</t>
        </is>
      </c>
    </row>
    <row r="3" ht="34" customHeight="1">
      <c r="A3" s="3" t="inlineStr">
        <is>
          <t>Property ID</t>
        </is>
      </c>
      <c r="B3" s="3" t="inlineStr">
        <is>
          <t>Address</t>
        </is>
      </c>
      <c r="C3" s="3" t="inlineStr">
        <is>
          <t>Suburb</t>
        </is>
      </c>
      <c r="D3" s="3" t="inlineStr">
        <is>
          <t>Agent</t>
        </is>
      </c>
      <c r="E3" s="3" t="inlineStr">
        <is>
          <t>Sale Date</t>
        </is>
      </c>
      <c r="F3" s="3" t="inlineStr">
        <is>
          <t>Sale Price ($)</t>
        </is>
      </c>
      <c r="G3" s="3" t="inlineStr">
        <is>
          <t>Commission Rate (%)</t>
        </is>
      </c>
      <c r="H3" s="3" t="inlineStr">
        <is>
          <t>Base Commission ($)</t>
        </is>
      </c>
      <c r="I3" s="3" t="inlineStr">
        <is>
          <t>Marketing Fee ($)</t>
        </is>
      </c>
      <c r="J3" s="3" t="inlineStr">
        <is>
          <t>GST on Commission ($)</t>
        </is>
      </c>
      <c r="K3" s="3" t="inlineStr">
        <is>
          <t>Total Commission incl GST ($)</t>
        </is>
      </c>
      <c r="L3" s="3" t="inlineStr">
        <is>
          <t>Net Proceeds to Vendor ($)</t>
        </is>
      </c>
      <c r="M3" s="3" t="inlineStr">
        <is>
          <t>Agent Split (%)</t>
        </is>
      </c>
      <c r="N3" s="3" t="inlineStr">
        <is>
          <t>Agent Payout ($)</t>
        </is>
      </c>
      <c r="P3" s="4" t="inlineStr">
        <is>
          <t>Sale Price Tier Lookup</t>
        </is>
      </c>
    </row>
    <row r="4">
      <c r="A4" s="5" t="inlineStr">
        <is>
          <t>PR-1000</t>
        </is>
      </c>
      <c r="B4" s="5" t="inlineStr">
        <is>
          <t>12 Bay Street</t>
        </is>
      </c>
      <c r="C4" s="5" t="inlineStr">
        <is>
          <t>Sydney</t>
        </is>
      </c>
      <c r="D4" s="5" t="inlineStr">
        <is>
          <t>Jack Wilson</t>
        </is>
      </c>
      <c r="E4" s="40" t="n">
        <v>46036</v>
      </c>
      <c r="F4" s="41" t="n">
        <v>780000</v>
      </c>
      <c r="G4" s="8">
        <f>IFERROR(VLOOKUP(F4,$P$5:$Q$9,2,TRUE),0)</f>
        <v/>
      </c>
      <c r="H4" s="42">
        <f>F4*G4</f>
        <v/>
      </c>
      <c r="I4" s="41" t="n">
        <v>850</v>
      </c>
      <c r="J4" s="42">
        <f>H4*0.1</f>
        <v/>
      </c>
      <c r="K4" s="42">
        <f>H4+I4+J4</f>
        <v/>
      </c>
      <c r="L4" s="42">
        <f>IFERROR(F4-K4,0)</f>
        <v/>
      </c>
      <c r="M4" s="10" t="n">
        <v>0.5</v>
      </c>
      <c r="N4" s="42">
        <f>K4*M4</f>
        <v/>
      </c>
      <c r="P4" s="11" t="inlineStr">
        <is>
          <t>Threshold ($)</t>
        </is>
      </c>
      <c r="Q4" s="11" t="inlineStr">
        <is>
          <t>Rate (%)</t>
        </is>
      </c>
    </row>
    <row r="5">
      <c r="A5" s="12" t="inlineStr">
        <is>
          <t>PR-1001</t>
        </is>
      </c>
      <c r="B5" s="12" t="inlineStr">
        <is>
          <t>45 Ocean View Rd</t>
        </is>
      </c>
      <c r="C5" s="12" t="inlineStr">
        <is>
          <t>Melbourne</t>
        </is>
      </c>
      <c r="D5" s="12" t="inlineStr">
        <is>
          <t>Olivia Brown</t>
        </is>
      </c>
      <c r="E5" s="43" t="n">
        <v>46056</v>
      </c>
      <c r="F5" s="41" t="n">
        <v>1150000</v>
      </c>
      <c r="G5" s="14">
        <f>IFERROR(VLOOKUP(F5,$P$5:$Q$9,2,TRUE),0)</f>
        <v/>
      </c>
      <c r="H5" s="44">
        <f>F5*G5</f>
        <v/>
      </c>
      <c r="I5" s="41" t="n">
        <v>1200</v>
      </c>
      <c r="J5" s="44">
        <f>H5*0.1</f>
        <v/>
      </c>
      <c r="K5" s="44">
        <f>H5+I5+J5</f>
        <v/>
      </c>
      <c r="L5" s="44">
        <f>IFERROR(F5-K5,0)</f>
        <v/>
      </c>
      <c r="M5" s="10" t="n">
        <v>0.55</v>
      </c>
      <c r="N5" s="44">
        <f>K5*M5</f>
        <v/>
      </c>
      <c r="P5" s="45" t="n">
        <v>0</v>
      </c>
      <c r="Q5" s="17" t="n">
        <v>0.015</v>
      </c>
    </row>
    <row r="6">
      <c r="A6" s="5" t="inlineStr">
        <is>
          <t>PR-1002</t>
        </is>
      </c>
      <c r="B6" s="5" t="inlineStr">
        <is>
          <t>8 King William St</t>
        </is>
      </c>
      <c r="C6" s="5" t="inlineStr">
        <is>
          <t>Brisbane</t>
        </is>
      </c>
      <c r="D6" s="5" t="inlineStr">
        <is>
          <t>Liam Taylor</t>
        </is>
      </c>
      <c r="E6" s="40" t="n">
        <v>46072</v>
      </c>
      <c r="F6" s="41" t="n">
        <v>620000</v>
      </c>
      <c r="G6" s="8">
        <f>IFERROR(VLOOKUP(F6,$P$5:$Q$9,2,TRUE),0)</f>
        <v/>
      </c>
      <c r="H6" s="42">
        <f>F6*G6</f>
        <v/>
      </c>
      <c r="I6" s="41" t="n">
        <v>600</v>
      </c>
      <c r="J6" s="42">
        <f>H6*0.1</f>
        <v/>
      </c>
      <c r="K6" s="42">
        <f>H6+I6+J6</f>
        <v/>
      </c>
      <c r="L6" s="42">
        <f>IFERROR(F6-K6,0)</f>
        <v/>
      </c>
      <c r="M6" s="10" t="n">
        <v>0.5</v>
      </c>
      <c r="N6" s="42">
        <f>K6*M6</f>
        <v/>
      </c>
      <c r="P6" s="45" t="n">
        <v>500000</v>
      </c>
      <c r="Q6" s="17" t="n">
        <v>0.018</v>
      </c>
    </row>
    <row r="7">
      <c r="A7" s="12" t="inlineStr">
        <is>
          <t>PR-1003</t>
        </is>
      </c>
      <c r="B7" s="12" t="inlineStr">
        <is>
          <t>21 Riverside Ave</t>
        </is>
      </c>
      <c r="C7" s="12" t="inlineStr">
        <is>
          <t>Perth</t>
        </is>
      </c>
      <c r="D7" s="12" t="inlineStr">
        <is>
          <t>Charlotte Evans</t>
        </is>
      </c>
      <c r="E7" s="43" t="n">
        <v>46086</v>
      </c>
      <c r="F7" s="41" t="n">
        <v>495000</v>
      </c>
      <c r="G7" s="14">
        <f>IFERROR(VLOOKUP(F7,$P$5:$Q$9,2,TRUE),0)</f>
        <v/>
      </c>
      <c r="H7" s="44">
        <f>F7*G7</f>
        <v/>
      </c>
      <c r="I7" s="41" t="n">
        <v>500</v>
      </c>
      <c r="J7" s="44">
        <f>H7*0.1</f>
        <v/>
      </c>
      <c r="K7" s="44">
        <f>H7+I7+J7</f>
        <v/>
      </c>
      <c r="L7" s="44">
        <f>IFERROR(F7-K7,0)</f>
        <v/>
      </c>
      <c r="M7" s="10" t="n">
        <v>0.45</v>
      </c>
      <c r="N7" s="44">
        <f>K7*M7</f>
        <v/>
      </c>
      <c r="P7" s="45" t="n">
        <v>800000</v>
      </c>
      <c r="Q7" s="17" t="n">
        <v>0.02</v>
      </c>
    </row>
    <row r="8">
      <c r="A8" s="5" t="inlineStr">
        <is>
          <t>PR-1004</t>
        </is>
      </c>
      <c r="B8" s="5" t="inlineStr">
        <is>
          <t>3 Hills Parade</t>
        </is>
      </c>
      <c r="C8" s="5" t="inlineStr">
        <is>
          <t>Adelaide</t>
        </is>
      </c>
      <c r="D8" s="5" t="inlineStr">
        <is>
          <t>Noah Clarke</t>
        </is>
      </c>
      <c r="E8" s="40" t="n">
        <v>46103</v>
      </c>
      <c r="F8" s="41" t="n">
        <v>890000</v>
      </c>
      <c r="G8" s="8">
        <f>IFERROR(VLOOKUP(F8,$P$5:$Q$9,2,TRUE),0)</f>
        <v/>
      </c>
      <c r="H8" s="42">
        <f>F8*G8</f>
        <v/>
      </c>
      <c r="I8" s="41" t="n">
        <v>900</v>
      </c>
      <c r="J8" s="42">
        <f>H8*0.1</f>
        <v/>
      </c>
      <c r="K8" s="42">
        <f>H8+I8+J8</f>
        <v/>
      </c>
      <c r="L8" s="42">
        <f>IFERROR(F8-K8,0)</f>
        <v/>
      </c>
      <c r="M8" s="10" t="n">
        <v>0.5</v>
      </c>
      <c r="N8" s="42">
        <f>K8*M8</f>
        <v/>
      </c>
      <c r="P8" s="45" t="n">
        <v>1200000</v>
      </c>
      <c r="Q8" s="17" t="n">
        <v>0.022</v>
      </c>
    </row>
    <row r="9">
      <c r="A9" s="12" t="inlineStr">
        <is>
          <t>PR-1005</t>
        </is>
      </c>
      <c r="B9" s="12" t="inlineStr">
        <is>
          <t>67 Coastal Drive</t>
        </is>
      </c>
      <c r="C9" s="12" t="inlineStr">
        <is>
          <t>Gold Coast</t>
        </is>
      </c>
      <c r="D9" s="12" t="inlineStr">
        <is>
          <t>Mia Robinson</t>
        </is>
      </c>
      <c r="E9" s="43" t="n">
        <v>46120</v>
      </c>
      <c r="F9" s="41" t="n">
        <v>1320000</v>
      </c>
      <c r="G9" s="14">
        <f>IFERROR(VLOOKUP(F9,$P$5:$Q$9,2,TRUE),0)</f>
        <v/>
      </c>
      <c r="H9" s="44">
        <f>F9*G9</f>
        <v/>
      </c>
      <c r="I9" s="41" t="n">
        <v>1400</v>
      </c>
      <c r="J9" s="44">
        <f>H9*0.1</f>
        <v/>
      </c>
      <c r="K9" s="44">
        <f>H9+I9+J9</f>
        <v/>
      </c>
      <c r="L9" s="44">
        <f>IFERROR(F9-K9,0)</f>
        <v/>
      </c>
      <c r="M9" s="10" t="n">
        <v>0.6</v>
      </c>
      <c r="N9" s="44">
        <f>K9*M9</f>
        <v/>
      </c>
      <c r="P9" s="45" t="n">
        <v>2000000</v>
      </c>
      <c r="Q9" s="17" t="n">
        <v>0.025</v>
      </c>
    </row>
    <row r="10">
      <c r="A10" s="5" t="inlineStr">
        <is>
          <t>PR-1006</t>
        </is>
      </c>
      <c r="B10" s="5" t="inlineStr">
        <is>
          <t>9 Federation Cres</t>
        </is>
      </c>
      <c r="C10" s="5" t="inlineStr">
        <is>
          <t>Newcastle</t>
        </is>
      </c>
      <c r="D10" s="5" t="inlineStr">
        <is>
          <t>Ethan Walker</t>
        </is>
      </c>
      <c r="E10" s="40" t="n">
        <v>46139</v>
      </c>
      <c r="F10" s="41" t="n">
        <v>705000</v>
      </c>
      <c r="G10" s="8">
        <f>IFERROR(VLOOKUP(F10,$P$5:$Q$9,2,TRUE),0)</f>
        <v/>
      </c>
      <c r="H10" s="42">
        <f>F10*G10</f>
        <v/>
      </c>
      <c r="I10" s="41" t="n">
        <v>700</v>
      </c>
      <c r="J10" s="42">
        <f>H10*0.1</f>
        <v/>
      </c>
      <c r="K10" s="42">
        <f>H10+I10+J10</f>
        <v/>
      </c>
      <c r="L10" s="42">
        <f>IFERROR(F10-K10,0)</f>
        <v/>
      </c>
      <c r="M10" s="10" t="n">
        <v>0.5</v>
      </c>
      <c r="N10" s="42">
        <f>K10*M10</f>
        <v/>
      </c>
    </row>
    <row r="11">
      <c r="A11" s="12" t="inlineStr">
        <is>
          <t>PR-1007</t>
        </is>
      </c>
      <c r="B11" s="12" t="inlineStr">
        <is>
          <t>34 Parkland Way</t>
        </is>
      </c>
      <c r="C11" s="12" t="inlineStr">
        <is>
          <t>Canberra</t>
        </is>
      </c>
      <c r="D11" s="12" t="inlineStr">
        <is>
          <t>Ruby Stevens</t>
        </is>
      </c>
      <c r="E11" s="43" t="n">
        <v>46153</v>
      </c>
      <c r="F11" s="41" t="n">
        <v>540000</v>
      </c>
      <c r="G11" s="14">
        <f>IFERROR(VLOOKUP(F11,$P$5:$Q$9,2,TRUE),0)</f>
        <v/>
      </c>
      <c r="H11" s="44">
        <f>F11*G11</f>
        <v/>
      </c>
      <c r="I11" s="41" t="n">
        <v>550</v>
      </c>
      <c r="J11" s="44">
        <f>H11*0.1</f>
        <v/>
      </c>
      <c r="K11" s="44">
        <f>H11+I11+J11</f>
        <v/>
      </c>
      <c r="L11" s="44">
        <f>IFERROR(F11-K11,0)</f>
        <v/>
      </c>
      <c r="M11" s="10" t="n">
        <v>0.45</v>
      </c>
      <c r="N11" s="44">
        <f>K11*M11</f>
        <v/>
      </c>
    </row>
    <row r="12">
      <c r="A12" s="5" t="inlineStr">
        <is>
          <t>PR-1008</t>
        </is>
      </c>
      <c r="B12" s="5" t="inlineStr">
        <is>
          <t>56 Lakeview Tce</t>
        </is>
      </c>
      <c r="C12" s="5" t="inlineStr">
        <is>
          <t>Sydney</t>
        </is>
      </c>
      <c r="D12" s="5" t="inlineStr">
        <is>
          <t>Ava Mitchell</t>
        </is>
      </c>
      <c r="E12" s="40" t="n">
        <v>46175</v>
      </c>
      <c r="F12" s="41" t="n">
        <v>975000</v>
      </c>
      <c r="G12" s="8">
        <f>IFERROR(VLOOKUP(F12,$P$5:$Q$9,2,TRUE),0)</f>
        <v/>
      </c>
      <c r="H12" s="42">
        <f>F12*G12</f>
        <v/>
      </c>
      <c r="I12" s="41" t="n">
        <v>1000</v>
      </c>
      <c r="J12" s="42">
        <f>H12*0.1</f>
        <v/>
      </c>
      <c r="K12" s="42">
        <f>H12+I12+J12</f>
        <v/>
      </c>
      <c r="L12" s="42">
        <f>IFERROR(F12-K12,0)</f>
        <v/>
      </c>
      <c r="M12" s="10" t="n">
        <v>0.5</v>
      </c>
      <c r="N12" s="42">
        <f>K12*M12</f>
        <v/>
      </c>
    </row>
    <row r="13">
      <c r="A13" s="12" t="inlineStr">
        <is>
          <t>PR-1009</t>
        </is>
      </c>
      <c r="B13" s="12" t="inlineStr">
        <is>
          <t>18 Sunset Blvd</t>
        </is>
      </c>
      <c r="C13" s="12" t="inlineStr">
        <is>
          <t>Melbourne</t>
        </is>
      </c>
      <c r="D13" s="12" t="inlineStr">
        <is>
          <t>Lucas Bennett</t>
        </is>
      </c>
      <c r="E13" s="43" t="n">
        <v>46193</v>
      </c>
      <c r="F13" s="41" t="n">
        <v>660000</v>
      </c>
      <c r="G13" s="14">
        <f>IFERROR(VLOOKUP(F13,$P$5:$Q$9,2,TRUE),0)</f>
        <v/>
      </c>
      <c r="H13" s="44">
        <f>F13*G13</f>
        <v/>
      </c>
      <c r="I13" s="41" t="n">
        <v>650</v>
      </c>
      <c r="J13" s="44">
        <f>H13*0.1</f>
        <v/>
      </c>
      <c r="K13" s="44">
        <f>H13+I13+J13</f>
        <v/>
      </c>
      <c r="L13" s="44">
        <f>IFERROR(F13-K13,0)</f>
        <v/>
      </c>
      <c r="M13" s="10" t="n">
        <v>0.55</v>
      </c>
      <c r="N13" s="44">
        <f>K13*M13</f>
        <v/>
      </c>
    </row>
    <row r="14" ht="20" customHeight="1">
      <c r="A14" s="18" t="n"/>
      <c r="B14" s="19" t="inlineStr">
        <is>
          <t>TOTALS / AVERAGES</t>
        </is>
      </c>
      <c r="F14" s="46">
        <f>SUM(F4:F13)</f>
        <v/>
      </c>
      <c r="G14" s="21">
        <f>AVERAGE(G4:G13)</f>
        <v/>
      </c>
      <c r="H14" s="46">
        <f>SUM(H4:H13)</f>
        <v/>
      </c>
      <c r="I14" s="46">
        <f>SUM(I4:I13)</f>
        <v/>
      </c>
      <c r="J14" s="46">
        <f>SUM(J4:J13)</f>
        <v/>
      </c>
      <c r="K14" s="46">
        <f>SUM(K4:K13)</f>
        <v/>
      </c>
      <c r="L14" s="46">
        <f>SUM(L4:L13)</f>
        <v/>
      </c>
      <c r="M14" s="18" t="n"/>
      <c r="N14" s="46">
        <f>SUM(N4:N13)</f>
        <v/>
      </c>
    </row>
    <row r="15"/>
    <row r="16">
      <c r="A16" s="4" t="inlineStr">
        <is>
          <t>Key Metrics</t>
        </is>
      </c>
    </row>
    <row r="17">
      <c r="A17" s="22" t="inlineStr">
        <is>
          <t>Number of Sales</t>
        </is>
      </c>
      <c r="B17" s="23" t="n"/>
      <c r="C17" s="24">
        <f>COUNTA(A4:A13)</f>
        <v/>
      </c>
    </row>
    <row r="18">
      <c r="A18" s="25" t="inlineStr">
        <is>
          <t>Total Sales Volume ($)</t>
        </is>
      </c>
      <c r="B18" s="23" t="n"/>
      <c r="C18" s="47">
        <f>SUM(F4:F13)</f>
        <v/>
      </c>
    </row>
    <row r="19">
      <c r="A19" s="22" t="inlineStr">
        <is>
          <t>Total Commission Earned incl GST ($)</t>
        </is>
      </c>
      <c r="B19" s="23" t="n"/>
      <c r="C19" s="48">
        <f>K14</f>
        <v/>
      </c>
    </row>
    <row r="20">
      <c r="A20" s="25" t="inlineStr">
        <is>
          <t>Total GST Collected ($)</t>
        </is>
      </c>
      <c r="B20" s="23" t="n"/>
      <c r="C20" s="47">
        <f>J14</f>
        <v/>
      </c>
    </row>
    <row r="21">
      <c r="A21" s="22" t="inlineStr">
        <is>
          <t>Average Sale Price ($)</t>
        </is>
      </c>
      <c r="B21" s="23" t="n"/>
      <c r="C21" s="48">
        <f>IFERROR(AVERAGE(F4:F13),0)</f>
        <v/>
      </c>
    </row>
    <row r="22">
      <c r="A22" s="25" t="inlineStr">
        <is>
          <t>Highest Commission ($)</t>
        </is>
      </c>
      <c r="B22" s="23" t="n"/>
      <c r="C22" s="47">
        <f>MAX(K4:K13)</f>
        <v/>
      </c>
    </row>
  </sheetData>
  <mergeCells count="11">
    <mergeCell ref="A1:N1"/>
    <mergeCell ref="A2:N2"/>
    <mergeCell ref="P3:Q3"/>
    <mergeCell ref="B14:E14"/>
    <mergeCell ref="A16:C16"/>
    <mergeCell ref="A17:B17"/>
    <mergeCell ref="A18:B18"/>
    <mergeCell ref="A19:B19"/>
    <mergeCell ref="A20:B20"/>
    <mergeCell ref="A21:B21"/>
    <mergeCell ref="A22:B22"/>
  </mergeCells>
  <conditionalFormatting sqref="K4:K13">
    <cfRule type="expression" priority="1" dxfId="0" stopIfTrue="1">
      <formula>K4&gt;AVERAGE($K$4:$K$13)</formula>
    </cfRule>
  </conditionalFormatting>
  <conditionalFormatting sqref="L4:L13">
    <cfRule type="expression" priority="2" dxfId="1" stopIfTrue="1">
      <formula>L4&lt;0</formula>
    </cfRule>
  </conditionalFormatting>
  <dataValidations count="1">
    <dataValidation sqref="C4:C13" showErrorMessage="1" showInputMessage="1" allowBlank="1" type="list">
      <formula1>"Sydney,Melbourne,Brisbane,Perth,Adelaide,Gold Coast,Newcastle,Canberra"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22" customWidth="1" min="3" max="3"/>
    <col width="26" customWidth="1" min="4" max="4"/>
    <col width="20" customWidth="1" min="5" max="5"/>
    <col width="26" customWidth="1" min="7" max="7"/>
    <col width="18" customWidth="1" min="8" max="8"/>
    <col width="3" customWidth="1" min="9" max="9"/>
  </cols>
  <sheetData>
    <row r="1" ht="28" customHeight="1">
      <c r="A1" s="1" t="inlineStr">
        <is>
          <t>Commission Dashboard — Overview by Suburb</t>
        </is>
      </c>
    </row>
    <row r="2"/>
    <row r="3" ht="30" customHeight="1">
      <c r="A3" s="3" t="inlineStr">
        <is>
          <t>Suburb</t>
        </is>
      </c>
      <c r="B3" s="3" t="inlineStr">
        <is>
          <t>No. of Sales</t>
        </is>
      </c>
      <c r="C3" s="3" t="inlineStr">
        <is>
          <t>Total Sales Volume ($)</t>
        </is>
      </c>
      <c r="D3" s="3" t="inlineStr">
        <is>
          <t>Total Commission incl GST ($)</t>
        </is>
      </c>
      <c r="E3" s="3" t="inlineStr">
        <is>
          <t>Avg Commission Rate (%)</t>
        </is>
      </c>
      <c r="G3" s="4" t="inlineStr">
        <is>
          <t>Overall Key Metrics</t>
        </is>
      </c>
    </row>
    <row r="4">
      <c r="A4" s="5" t="inlineStr">
        <is>
          <t>Sydney</t>
        </is>
      </c>
      <c r="B4" s="28">
        <f>COUNTIF('Commission Calculator'!$C$4:$C$13,A4)</f>
        <v/>
      </c>
      <c r="C4" s="49">
        <f>SUMIF('Commission Calculator'!$C$4:$C$13,A4,'Commission Calculator'!$F$4:$F$13)</f>
        <v/>
      </c>
      <c r="D4" s="49">
        <f>SUMIF('Commission Calculator'!$C$4:$C$13,A4,'Commission Calculator'!$K$4:$K$13)</f>
        <v/>
      </c>
      <c r="E4" s="8">
        <f>IFERROR(D4/C4,0)</f>
        <v/>
      </c>
      <c r="G4" s="22" t="inlineStr">
        <is>
          <t>Total Properties Sold</t>
        </is>
      </c>
      <c r="H4" s="24">
        <f>COUNTA('Commission Calculator'!$A$4:$A$13)</f>
        <v/>
      </c>
    </row>
    <row r="5">
      <c r="A5" s="12" t="inlineStr">
        <is>
          <t>Melbourne</t>
        </is>
      </c>
      <c r="B5" s="30">
        <f>COUNTIF('Commission Calculator'!$C$4:$C$13,A5)</f>
        <v/>
      </c>
      <c r="C5" s="50">
        <f>SUMIF('Commission Calculator'!$C$4:$C$13,A5,'Commission Calculator'!$F$4:$F$13)</f>
        <v/>
      </c>
      <c r="D5" s="50">
        <f>SUMIF('Commission Calculator'!$C$4:$C$13,A5,'Commission Calculator'!$K$4:$K$13)</f>
        <v/>
      </c>
      <c r="E5" s="14">
        <f>IFERROR(D5/C5,0)</f>
        <v/>
      </c>
      <c r="G5" s="25" t="inlineStr">
        <is>
          <t>Total Sales Volume ($)</t>
        </is>
      </c>
      <c r="H5" s="47">
        <f>SUM('Commission Calculator'!$F$4:$F$13)</f>
        <v/>
      </c>
    </row>
    <row r="6">
      <c r="A6" s="5" t="inlineStr">
        <is>
          <t>Brisbane</t>
        </is>
      </c>
      <c r="B6" s="28">
        <f>COUNTIF('Commission Calculator'!$C$4:$C$13,A6)</f>
        <v/>
      </c>
      <c r="C6" s="49">
        <f>SUMIF('Commission Calculator'!$C$4:$C$13,A6,'Commission Calculator'!$F$4:$F$13)</f>
        <v/>
      </c>
      <c r="D6" s="49">
        <f>SUMIF('Commission Calculator'!$C$4:$C$13,A6,'Commission Calculator'!$K$4:$K$13)</f>
        <v/>
      </c>
      <c r="E6" s="8">
        <f>IFERROR(D6/C6,0)</f>
        <v/>
      </c>
      <c r="G6" s="22" t="inlineStr">
        <is>
          <t>Total Commission incl GST ($)</t>
        </is>
      </c>
      <c r="H6" s="48">
        <f>SUM('Commission Calculator'!$K$4:$K$13)</f>
        <v/>
      </c>
    </row>
    <row r="7">
      <c r="A7" s="12" t="inlineStr">
        <is>
          <t>Perth</t>
        </is>
      </c>
      <c r="B7" s="30">
        <f>COUNTIF('Commission Calculator'!$C$4:$C$13,A7)</f>
        <v/>
      </c>
      <c r="C7" s="50">
        <f>SUMIF('Commission Calculator'!$C$4:$C$13,A7,'Commission Calculator'!$F$4:$F$13)</f>
        <v/>
      </c>
      <c r="D7" s="50">
        <f>SUMIF('Commission Calculator'!$C$4:$C$13,A7,'Commission Calculator'!$K$4:$K$13)</f>
        <v/>
      </c>
      <c r="E7" s="14">
        <f>IFERROR(D7/C7,0)</f>
        <v/>
      </c>
      <c r="G7" s="25" t="inlineStr">
        <is>
          <t>Total GST Collected ($)</t>
        </is>
      </c>
      <c r="H7" s="47">
        <f>SUM('Commission Calculator'!$J$4:$J$13)</f>
        <v/>
      </c>
    </row>
    <row r="8">
      <c r="A8" s="5" t="inlineStr">
        <is>
          <t>Adelaide</t>
        </is>
      </c>
      <c r="B8" s="28">
        <f>COUNTIF('Commission Calculator'!$C$4:$C$13,A8)</f>
        <v/>
      </c>
      <c r="C8" s="49">
        <f>SUMIF('Commission Calculator'!$C$4:$C$13,A8,'Commission Calculator'!$F$4:$F$13)</f>
        <v/>
      </c>
      <c r="D8" s="49">
        <f>SUMIF('Commission Calculator'!$C$4:$C$13,A8,'Commission Calculator'!$K$4:$K$13)</f>
        <v/>
      </c>
      <c r="E8" s="8">
        <f>IFERROR(D8/C8,0)</f>
        <v/>
      </c>
      <c r="G8" s="22" t="inlineStr">
        <is>
          <t>Average Commission Rate (%)</t>
        </is>
      </c>
      <c r="H8" s="32">
        <f>IFERROR(AVERAGE('Commission Calculator'!$G$4:$G$13),0)</f>
        <v/>
      </c>
    </row>
    <row r="9">
      <c r="A9" s="12" t="inlineStr">
        <is>
          <t>Gold Coast</t>
        </is>
      </c>
      <c r="B9" s="30">
        <f>COUNTIF('Commission Calculator'!$C$4:$C$13,A9)</f>
        <v/>
      </c>
      <c r="C9" s="50">
        <f>SUMIF('Commission Calculator'!$C$4:$C$13,A9,'Commission Calculator'!$F$4:$F$13)</f>
        <v/>
      </c>
      <c r="D9" s="50">
        <f>SUMIF('Commission Calculator'!$C$4:$C$13,A9,'Commission Calculator'!$K$4:$K$13)</f>
        <v/>
      </c>
      <c r="E9" s="14">
        <f>IFERROR(D9/C9,0)</f>
        <v/>
      </c>
    </row>
    <row r="10">
      <c r="A10" s="5" t="inlineStr">
        <is>
          <t>Newcastle</t>
        </is>
      </c>
      <c r="B10" s="28">
        <f>COUNTIF('Commission Calculator'!$C$4:$C$13,A10)</f>
        <v/>
      </c>
      <c r="C10" s="49">
        <f>SUMIF('Commission Calculator'!$C$4:$C$13,A10,'Commission Calculator'!$F$4:$F$13)</f>
        <v/>
      </c>
      <c r="D10" s="49">
        <f>SUMIF('Commission Calculator'!$C$4:$C$13,A10,'Commission Calculator'!$K$4:$K$13)</f>
        <v/>
      </c>
      <c r="E10" s="8">
        <f>IFERROR(D10/C10,0)</f>
        <v/>
      </c>
    </row>
    <row r="11">
      <c r="A11" s="12" t="inlineStr">
        <is>
          <t>Canberra</t>
        </is>
      </c>
      <c r="B11" s="30">
        <f>COUNTIF('Commission Calculator'!$C$4:$C$13,A11)</f>
        <v/>
      </c>
      <c r="C11" s="50">
        <f>SUMIF('Commission Calculator'!$C$4:$C$13,A11,'Commission Calculator'!$F$4:$F$13)</f>
        <v/>
      </c>
      <c r="D11" s="50">
        <f>SUMIF('Commission Calculator'!$C$4:$C$13,A11,'Commission Calculator'!$K$4:$K$13)</f>
        <v/>
      </c>
      <c r="E11" s="14">
        <f>IFERROR(D11/C11,0)</f>
        <v/>
      </c>
    </row>
    <row r="12">
      <c r="A12" s="33" t="inlineStr">
        <is>
          <t>TOTAL</t>
        </is>
      </c>
      <c r="B12" s="34">
        <f>SUM(B4:B11)</f>
        <v/>
      </c>
      <c r="C12" s="51">
        <f>SUM(C4:C11)</f>
        <v/>
      </c>
      <c r="D12" s="51">
        <f>SUM(D4:D11)</f>
        <v/>
      </c>
      <c r="E12" s="18">
        <f>IFERROR(D12/C12*100,0)</f>
        <v/>
      </c>
    </row>
  </sheetData>
  <mergeCells count="2">
    <mergeCell ref="A1:F1"/>
    <mergeCell ref="G3:H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32" customWidth="1" min="1" max="1"/>
    <col width="85" customWidth="1" min="2" max="2"/>
  </cols>
  <sheetData>
    <row r="1" ht="28" customHeight="1">
      <c r="A1" s="1" t="inlineStr">
        <is>
          <t>Instructions &amp; Guide</t>
        </is>
      </c>
    </row>
    <row r="2"/>
    <row r="3">
      <c r="A3" s="3" t="inlineStr">
        <is>
          <t>Sheet / Column</t>
        </is>
      </c>
      <c r="B3" s="3" t="inlineStr">
        <is>
          <t>Description</t>
        </is>
      </c>
    </row>
    <row r="4" ht="30" customHeight="1">
      <c r="A4" s="36" t="inlineStr">
        <is>
          <t>Commission Calculator sheet</t>
        </is>
      </c>
      <c r="B4" s="37" t="inlineStr">
        <is>
          <t>Main worksheet for recording each property sale and calculating agent commission, GST and vendor proceeds.</t>
        </is>
      </c>
    </row>
    <row r="5" ht="30" customHeight="1">
      <c r="A5" s="38" t="inlineStr">
        <is>
          <t>Property ID / Address / Suburb</t>
        </is>
      </c>
      <c r="B5" s="39" t="inlineStr">
        <is>
          <t>Basic details of the sold property. Suburb has a drop-down list of common Australian cities/suburbs.</t>
        </is>
      </c>
    </row>
    <row r="6" ht="30" customHeight="1">
      <c r="A6" s="36" t="inlineStr">
        <is>
          <t>Agent / Sale Date</t>
        </is>
      </c>
      <c r="B6" s="37" t="inlineStr">
        <is>
          <t>The listing agent responsible for the sale, and the settlement/sale date (DD/MM/YYYY).</t>
        </is>
      </c>
    </row>
    <row r="7" ht="30" customHeight="1">
      <c r="A7" s="38" t="inlineStr">
        <is>
          <t>Sale Price ($)</t>
        </is>
      </c>
      <c r="B7" s="39" t="inlineStr">
        <is>
          <t>Editable input cell (pale yellow) — enter the final agreed sale price in AUD.</t>
        </is>
      </c>
    </row>
    <row r="8" ht="30" customHeight="1">
      <c r="A8" s="36" t="inlineStr">
        <is>
          <t>Commission Rate (%)</t>
        </is>
      </c>
      <c r="B8" s="37" t="inlineStr">
        <is>
          <t>Automatically looked up via VLOOKUP against the Sale Price Tier Lookup table (columns P:Q), based on the sale price bracket.</t>
        </is>
      </c>
    </row>
    <row r="9" ht="30" customHeight="1">
      <c r="A9" s="38" t="inlineStr">
        <is>
          <t>Base Commission ($)</t>
        </is>
      </c>
      <c r="B9" s="39" t="inlineStr">
        <is>
          <t>Calculated as Sale Price multiplied by Commission Rate.</t>
        </is>
      </c>
    </row>
    <row r="10" ht="30" customHeight="1">
      <c r="A10" s="36" t="inlineStr">
        <is>
          <t>Marketing Fee ($)</t>
        </is>
      </c>
      <c r="B10" s="37" t="inlineStr">
        <is>
          <t>Editable input cell — flat marketing/advertising fee charged to the vendor, added to the total commission.</t>
        </is>
      </c>
    </row>
    <row r="11" ht="30" customHeight="1">
      <c r="A11" s="38" t="inlineStr">
        <is>
          <t>GST on Commission ($)</t>
        </is>
      </c>
      <c r="B11" s="39" t="inlineStr">
        <is>
          <t>10% Goods and Services Tax calculated on the Base Commission, as required under Australian GST law.</t>
        </is>
      </c>
    </row>
    <row r="12" ht="30" customHeight="1">
      <c r="A12" s="36" t="inlineStr">
        <is>
          <t>Total Commission incl GST ($)</t>
        </is>
      </c>
      <c r="B12" s="37" t="inlineStr">
        <is>
          <t>Sum of Base Commission, Marketing Fee and GST — the total amount payable by the vendor.</t>
        </is>
      </c>
    </row>
    <row r="13" ht="30" customHeight="1">
      <c r="A13" s="38" t="inlineStr">
        <is>
          <t>Net Proceeds to Vendor ($)</t>
        </is>
      </c>
      <c r="B13" s="39" t="inlineStr">
        <is>
          <t>Sale Price less Total Commission incl GST — the amount the vendor receives.</t>
        </is>
      </c>
    </row>
    <row r="14" ht="30" customHeight="1">
      <c r="A14" s="36" t="inlineStr">
        <is>
          <t>Agent Split (%) / Agent Payout ($)</t>
        </is>
      </c>
      <c r="B14" s="37" t="inlineStr">
        <is>
          <t>Editable input percentage showing the agent's share of the total commission, and the resulting payout amount.</t>
        </is>
      </c>
    </row>
    <row r="15" ht="30" customHeight="1">
      <c r="A15" s="38" t="inlineStr">
        <is>
          <t>Sale Price Tier Lookup</t>
        </is>
      </c>
      <c r="B15" s="39" t="inlineStr">
        <is>
          <t>Reference table (columns P:Q) used by the VLOOKUP formula to determine commission rate based on sale price threshold.</t>
        </is>
      </c>
    </row>
    <row r="16" ht="30" customHeight="1">
      <c r="A16" s="36" t="inlineStr">
        <is>
          <t>Dashboard sheet</t>
        </is>
      </c>
      <c r="B16" s="37" t="inlineStr">
        <is>
          <t>Aggregated view of sales, commission and GST by suburb, with bar and pie charts, plus overall key metrics.</t>
        </is>
      </c>
    </row>
    <row r="17" ht="30" customHeight="1">
      <c r="A17" s="38" t="inlineStr">
        <is>
          <t>Conditional formatting</t>
        </is>
      </c>
      <c r="B17" s="39" t="inlineStr">
        <is>
          <t>Total Commission cells above the average are highlighted green; any negative Net Proceeds are highlighted red as an alert.</t>
        </is>
      </c>
    </row>
    <row r="18" ht="30" customHeight="1">
      <c r="A18" s="36" t="inlineStr">
        <is>
          <t>General note</t>
        </is>
      </c>
      <c r="B18" s="37" t="inlineStr">
        <is>
          <t>All monetary values are in Australian Dollars (AUD). Update input cells (pale yellow) only — formula cells will recalculate automatically.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2026-07-21T13:18:01Z</dcterms:created>
  <dcterms:modified xmlns:dcterms="http://purl.org/dc/terms/" xmlns:xsi="http://www.w3.org/2001/XMLSchema-instance" xsi:type="dcterms:W3CDTF">2026-07-21T13:18:01Z</dcterms:modified>
</cp:coreProperties>
</file>