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  <sheet xmlns:r="http://schemas.openxmlformats.org/officeDocument/2006/relationships" name="Comparisons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sz val="10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sz val="10"/>
    </font>
    <font>
      <name val="Calibri"/>
      <b val="1"/>
      <color rgb="001E293B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06A4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4" fontId="5" fillId="7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/>
    </xf>
    <xf numFmtId="164" fontId="3" fillId="8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/>
    </xf>
    <xf numFmtId="164" fontId="6" fillId="0" borderId="1" applyAlignment="1" pivotButton="0" quotePrefix="0" xfId="0">
      <alignment horizontal="left" vertical="center"/>
    </xf>
    <xf numFmtId="10" fontId="3" fillId="4" borderId="1" applyAlignment="1" pivotButton="0" quotePrefix="0" xfId="0">
      <alignment horizontal="center" vertical="center"/>
    </xf>
    <xf numFmtId="10" fontId="3" fillId="8" borderId="1" applyAlignment="1" pivotButton="0" quotePrefix="0" xfId="0">
      <alignment horizontal="center" vertical="center"/>
    </xf>
    <xf numFmtId="0" fontId="6" fillId="0" borderId="1" pivotButton="0" quotePrefix="0" xfId="0"/>
    <xf numFmtId="0" fontId="3" fillId="4" borderId="1" applyAlignment="1" pivotButton="0" quotePrefix="0" xfId="0">
      <alignment horizontal="right" vertical="center"/>
    </xf>
    <xf numFmtId="0" fontId="3" fillId="8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8" borderId="1" applyAlignment="1" pivotButton="0" quotePrefix="0" xfId="0">
      <alignment horizontal="right" vertical="center"/>
    </xf>
    <xf numFmtId="164" fontId="3" fillId="8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left" vertical="top" wrapText="1"/>
    </xf>
    <xf numFmtId="0" fontId="7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Annual Pay vs Tax Saved by Scenario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'Comparisons'!I2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'Comparisons'!$A$3:$A$12</f>
            </numRef>
          </cat>
          <val>
            <numRef>
              <f>'Comparisons'!$I$3:$I$12</f>
            </numRef>
          </val>
        </ser>
        <ser>
          <idx val="1"/>
          <order val="1"/>
          <tx>
            <strRef>
              <f>'Comparisons'!J2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'Comparisons'!$A$3:$A$12</f>
            </numRef>
          </cat>
          <val>
            <numRef>
              <f>'Comparisons'!$J$3:$J$12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Scenario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8" customWidth="1" min="3" max="3"/>
    <col width="14" customWidth="1" min="4" max="4"/>
    <col width="20" customWidth="1" min="5" max="5"/>
    <col width="20" customWidth="1" min="6" max="6"/>
    <col width="22" customWidth="1" min="7" max="7"/>
    <col width="22" customWidth="1" min="8" max="8"/>
    <col width="22" customWidth="1" min="9" max="9"/>
    <col width="14" customWidth="1" min="10" max="10"/>
    <col width="12" customWidth="1" min="11" max="11"/>
    <col width="20" customWidth="1" min="12" max="12"/>
    <col width="20" customWidth="1" min="13" max="13"/>
    <col width="20" customWidth="1" min="14" max="14"/>
    <col width="22" customWidth="1" min="15" max="15"/>
    <col width="22" customWidth="1" min="16" max="16"/>
    <col width="20" customWidth="1" min="17" max="17"/>
    <col width="26" customWidth="1" min="18" max="18"/>
  </cols>
  <sheetData>
    <row r="1" ht="36" customHeight="1">
      <c r="A1" s="1" t="inlineStr">
        <is>
          <t>Salary Sacrifice Calculator – FY 2026-27 (Australian Resident)</t>
        </is>
      </c>
    </row>
    <row r="2" ht="36" customHeight="1">
      <c r="A2" s="2" t="inlineStr">
        <is>
          <t>Employee Name</t>
        </is>
      </c>
      <c r="B2" s="2" t="inlineStr">
        <is>
          <t>City</t>
        </is>
      </c>
      <c r="C2" s="2" t="inlineStr">
        <is>
          <t>Gross Annual
Salary ($)</t>
        </is>
      </c>
      <c r="D2" s="2" t="inlineStr">
        <is>
          <t>Pay
Frequency</t>
        </is>
      </c>
      <c r="E2" s="2" t="inlineStr">
        <is>
          <t>Pre-Tax Sacrifice
($ per Pay)</t>
        </is>
      </c>
      <c r="F2" s="2" t="inlineStr">
        <is>
          <t>Annual Salary
Sacrifice ($)</t>
        </is>
      </c>
      <c r="G2" s="2" t="inlineStr">
        <is>
          <t>Taxable Income
After Sacrifice ($)</t>
        </is>
      </c>
      <c r="H2" s="2" t="inlineStr">
        <is>
          <t>Income Tax
Before Sacrifice ($)</t>
        </is>
      </c>
      <c r="I2" s="2" t="inlineStr">
        <is>
          <t>Income Tax
After Sacrifice ($)</t>
        </is>
      </c>
      <c r="J2" s="2" t="inlineStr">
        <is>
          <t>Tax Saved ($)</t>
        </is>
      </c>
      <c r="K2" s="2" t="inlineStr">
        <is>
          <t>Super Rate
(%)</t>
        </is>
      </c>
      <c r="L2" s="2" t="inlineStr">
        <is>
          <t>Employer Super
Before ($)</t>
        </is>
      </c>
      <c r="M2" s="2" t="inlineStr">
        <is>
          <t>Employer Super
After ($)</t>
        </is>
      </c>
      <c r="N2" s="2" t="inlineStr">
        <is>
          <t>Total Package
Value ($)</t>
        </is>
      </c>
      <c r="O2" s="2" t="inlineStr">
        <is>
          <t>Net Pay Before
Sacrifice ($)</t>
        </is>
      </c>
      <c r="P2" s="2" t="inlineStr">
        <is>
          <t>Net Pay After
Sacrifice ($)</t>
        </is>
      </c>
      <c r="Q2" s="2" t="inlineStr">
        <is>
          <t>Net Pay
Difference ($)</t>
        </is>
      </c>
      <c r="R2" s="2" t="inlineStr">
        <is>
          <t>Notes / Use Case</t>
        </is>
      </c>
    </row>
    <row r="3">
      <c r="A3" s="3" t="inlineStr">
        <is>
          <t>Jack Wilson</t>
        </is>
      </c>
      <c r="B3" s="3" t="inlineStr">
        <is>
          <t>Sydney</t>
        </is>
      </c>
      <c r="C3" s="4" t="n">
        <v>92000</v>
      </c>
      <c r="D3" s="5" t="inlineStr">
        <is>
          <t>Fortnightly</t>
        </is>
      </c>
      <c r="E3" s="4" t="n">
        <v>200</v>
      </c>
      <c r="F3" s="6">
        <f>IF(D3="Weekly",E3*52,IF(D3="Fortnightly",E3*26,IF(D3="Monthly",E3*12,0)))</f>
        <v/>
      </c>
      <c r="G3" s="6">
        <f>C3-F3</f>
        <v/>
      </c>
      <c r="H3" s="6">
        <f>IF(C3&lt;=18200,0,IF(C3&lt;=45000,(C3-18200)*0.19,IF(C3&lt;=120000,5092+(C3-45000)*0.325,IF(C3&lt;=180000,29467+(C3-120000)*0.37,51667+(C3-180000)*0.45))))</f>
        <v/>
      </c>
      <c r="I3" s="6">
        <f>IF(G3&lt;=18200,0,IF(G3&lt;=45000,(G3-18200)*0.19,IF(G3&lt;=120000,5092+(G3-45000)*0.325,IF(G3&lt;=180000,29467+(G3-120000)*0.37,51667+(G3-180000)*0.45))))</f>
        <v/>
      </c>
      <c r="J3" s="7">
        <f>H3-I3</f>
        <v/>
      </c>
      <c r="K3" s="8" t="n">
        <v>0.115</v>
      </c>
      <c r="L3" s="6">
        <f>C3*K3</f>
        <v/>
      </c>
      <c r="M3" s="6">
        <f>G3*K3</f>
        <v/>
      </c>
      <c r="N3" s="6">
        <f>C3+L3</f>
        <v/>
      </c>
      <c r="O3" s="6">
        <f>C3-H3-C3*0.02</f>
        <v/>
      </c>
      <c r="P3" s="6">
        <f>G3-I3-G3*0.02-F3</f>
        <v/>
      </c>
      <c r="Q3" s="9">
        <f>P3-O3</f>
        <v/>
      </c>
      <c r="R3" s="3" t="inlineStr">
        <is>
          <t>Novated lease</t>
        </is>
      </c>
    </row>
    <row r="4">
      <c r="A4" s="10" t="inlineStr">
        <is>
          <t>Olivia Martin</t>
        </is>
      </c>
      <c r="B4" s="10" t="inlineStr">
        <is>
          <t>Melbourne</t>
        </is>
      </c>
      <c r="C4" s="4" t="n">
        <v>118500</v>
      </c>
      <c r="D4" s="5" t="inlineStr">
        <is>
          <t>Monthly</t>
        </is>
      </c>
      <c r="E4" s="4" t="n">
        <v>600</v>
      </c>
      <c r="F4" s="11">
        <f>IF(D4="Weekly",E4*52,IF(D4="Fortnightly",E4*26,IF(D4="Monthly",E4*12,0)))</f>
        <v/>
      </c>
      <c r="G4" s="11">
        <f>C4-F4</f>
        <v/>
      </c>
      <c r="H4" s="11">
        <f>IF(C4&lt;=18200,0,IF(C4&lt;=45000,(C4-18200)*0.19,IF(C4&lt;=120000,5092+(C4-45000)*0.325,IF(C4&lt;=180000,29467+(C4-120000)*0.37,51667+(C4-180000)*0.45))))</f>
        <v/>
      </c>
      <c r="I4" s="11">
        <f>IF(G4&lt;=18200,0,IF(G4&lt;=45000,(G4-18200)*0.19,IF(G4&lt;=120000,5092+(G4-45000)*0.325,IF(G4&lt;=180000,29467+(G4-120000)*0.37,51667+(G4-180000)*0.45))))</f>
        <v/>
      </c>
      <c r="J4" s="7">
        <f>H4-I4</f>
        <v/>
      </c>
      <c r="K4" s="8" t="n">
        <v>0.115</v>
      </c>
      <c r="L4" s="11">
        <f>C4*K4</f>
        <v/>
      </c>
      <c r="M4" s="11">
        <f>G4*K4</f>
        <v/>
      </c>
      <c r="N4" s="11">
        <f>C4+L4</f>
        <v/>
      </c>
      <c r="O4" s="11">
        <f>C4-H4-C4*0.02</f>
        <v/>
      </c>
      <c r="P4" s="11">
        <f>G4-I4-G4*0.02-F4</f>
        <v/>
      </c>
      <c r="Q4" s="9">
        <f>P4-O4</f>
        <v/>
      </c>
      <c r="R4" s="10" t="inlineStr">
        <is>
          <t>Super top-up</t>
        </is>
      </c>
    </row>
    <row r="5">
      <c r="A5" s="3" t="inlineStr">
        <is>
          <t>Liam Chen</t>
        </is>
      </c>
      <c r="B5" s="3" t="inlineStr">
        <is>
          <t>Brisbane</t>
        </is>
      </c>
      <c r="C5" s="4" t="n">
        <v>76250</v>
      </c>
      <c r="D5" s="5" t="inlineStr">
        <is>
          <t>Weekly</t>
        </is>
      </c>
      <c r="E5" s="4" t="n">
        <v>100</v>
      </c>
      <c r="F5" s="6">
        <f>IF(D5="Weekly",E5*52,IF(D5="Fortnightly",E5*26,IF(D5="Monthly",E5*12,0)))</f>
        <v/>
      </c>
      <c r="G5" s="6">
        <f>C5-F5</f>
        <v/>
      </c>
      <c r="H5" s="6">
        <f>IF(C5&lt;=18200,0,IF(C5&lt;=45000,(C5-18200)*0.19,IF(C5&lt;=120000,5092+(C5-45000)*0.325,IF(C5&lt;=180000,29467+(C5-120000)*0.37,51667+(C5-180000)*0.45))))</f>
        <v/>
      </c>
      <c r="I5" s="6">
        <f>IF(G5&lt;=18200,0,IF(G5&lt;=45000,(G5-18200)*0.19,IF(G5&lt;=120000,5092+(G5-45000)*0.325,IF(G5&lt;=180000,29467+(G5-120000)*0.37,51667+(G5-180000)*0.45))))</f>
        <v/>
      </c>
      <c r="J5" s="7">
        <f>H5-I5</f>
        <v/>
      </c>
      <c r="K5" s="8" t="n">
        <v>0.115</v>
      </c>
      <c r="L5" s="6">
        <f>C5*K5</f>
        <v/>
      </c>
      <c r="M5" s="6">
        <f>G5*K5</f>
        <v/>
      </c>
      <c r="N5" s="6">
        <f>C5+L5</f>
        <v/>
      </c>
      <c r="O5" s="6">
        <f>C5-H5-C5*0.02</f>
        <v/>
      </c>
      <c r="P5" s="6">
        <f>G5-I5-G5*0.02-F5</f>
        <v/>
      </c>
      <c r="Q5" s="9">
        <f>P5-O5</f>
        <v/>
      </c>
      <c r="R5" s="3" t="inlineStr">
        <is>
          <t>Additional super</t>
        </is>
      </c>
    </row>
    <row r="6">
      <c r="A6" s="10" t="inlineStr">
        <is>
          <t>Charlotte Brown</t>
        </is>
      </c>
      <c r="B6" s="10" t="inlineStr">
        <is>
          <t>Perth</t>
        </is>
      </c>
      <c r="C6" s="4" t="n">
        <v>145000</v>
      </c>
      <c r="D6" s="5" t="inlineStr">
        <is>
          <t>Fortnightly</t>
        </is>
      </c>
      <c r="E6" s="4" t="n">
        <v>900</v>
      </c>
      <c r="F6" s="11">
        <f>IF(D6="Weekly",E6*52,IF(D6="Fortnightly",E6*26,IF(D6="Monthly",E6*12,0)))</f>
        <v/>
      </c>
      <c r="G6" s="11">
        <f>C6-F6</f>
        <v/>
      </c>
      <c r="H6" s="11">
        <f>IF(C6&lt;=18200,0,IF(C6&lt;=45000,(C6-18200)*0.19,IF(C6&lt;=120000,5092+(C6-45000)*0.325,IF(C6&lt;=180000,29467+(C6-120000)*0.37,51667+(C6-180000)*0.45))))</f>
        <v/>
      </c>
      <c r="I6" s="11">
        <f>IF(G6&lt;=18200,0,IF(G6&lt;=45000,(G6-18200)*0.19,IF(G6&lt;=120000,5092+(G6-45000)*0.325,IF(G6&lt;=180000,29467+(G6-120000)*0.37,51667+(G6-180000)*0.45))))</f>
        <v/>
      </c>
      <c r="J6" s="7">
        <f>H6-I6</f>
        <v/>
      </c>
      <c r="K6" s="8" t="n">
        <v>0.115</v>
      </c>
      <c r="L6" s="11">
        <f>C6*K6</f>
        <v/>
      </c>
      <c r="M6" s="11">
        <f>G6*K6</f>
        <v/>
      </c>
      <c r="N6" s="11">
        <f>C6+L6</f>
        <v/>
      </c>
      <c r="O6" s="11">
        <f>C6-H6-C6*0.02</f>
        <v/>
      </c>
      <c r="P6" s="11">
        <f>G6-I6-G6*0.02-F6</f>
        <v/>
      </c>
      <c r="Q6" s="9">
        <f>P6-O6</f>
        <v/>
      </c>
      <c r="R6" s="10" t="inlineStr">
        <is>
          <t>Novated lease + super</t>
        </is>
      </c>
    </row>
    <row r="7">
      <c r="A7" s="3" t="inlineStr">
        <is>
          <t>Noah Taylor</t>
        </is>
      </c>
      <c r="B7" s="3" t="inlineStr">
        <is>
          <t>Adelaide</t>
        </is>
      </c>
      <c r="C7" s="4" t="n">
        <v>104800</v>
      </c>
      <c r="D7" s="5" t="inlineStr">
        <is>
          <t>Monthly</t>
        </is>
      </c>
      <c r="E7" s="4" t="n">
        <v>500</v>
      </c>
      <c r="F7" s="6">
        <f>IF(D7="Weekly",E7*52,IF(D7="Fortnightly",E7*26,IF(D7="Monthly",E7*12,0)))</f>
        <v/>
      </c>
      <c r="G7" s="6">
        <f>C7-F7</f>
        <v/>
      </c>
      <c r="H7" s="6">
        <f>IF(C7&lt;=18200,0,IF(C7&lt;=45000,(C7-18200)*0.19,IF(C7&lt;=120000,5092+(C7-45000)*0.325,IF(C7&lt;=180000,29467+(C7-120000)*0.37,51667+(C7-180000)*0.45))))</f>
        <v/>
      </c>
      <c r="I7" s="6">
        <f>IF(G7&lt;=18200,0,IF(G7&lt;=45000,(G7-18200)*0.19,IF(G7&lt;=120000,5092+(G7-45000)*0.325,IF(G7&lt;=180000,29467+(G7-120000)*0.37,51667+(G7-180000)*0.45))))</f>
        <v/>
      </c>
      <c r="J7" s="7">
        <f>H7-I7</f>
        <v/>
      </c>
      <c r="K7" s="8" t="n">
        <v>0.115</v>
      </c>
      <c r="L7" s="6">
        <f>C7*K7</f>
        <v/>
      </c>
      <c r="M7" s="6">
        <f>G7*K7</f>
        <v/>
      </c>
      <c r="N7" s="6">
        <f>C7+L7</f>
        <v/>
      </c>
      <c r="O7" s="6">
        <f>C7-H7-C7*0.02</f>
        <v/>
      </c>
      <c r="P7" s="6">
        <f>G7-I7-G7*0.02-F7</f>
        <v/>
      </c>
      <c r="Q7" s="9">
        <f>P7-O7</f>
        <v/>
      </c>
      <c r="R7" s="3" t="inlineStr">
        <is>
          <t>Super top-up</t>
        </is>
      </c>
    </row>
    <row r="8">
      <c r="A8" s="10" t="inlineStr">
        <is>
          <t>Mia Johnson</t>
        </is>
      </c>
      <c r="B8" s="10" t="inlineStr">
        <is>
          <t>Gold Coast</t>
        </is>
      </c>
      <c r="C8" s="4" t="n">
        <v>88600</v>
      </c>
      <c r="D8" s="5" t="inlineStr">
        <is>
          <t>Fortnightly</t>
        </is>
      </c>
      <c r="E8" s="4" t="n">
        <v>150</v>
      </c>
      <c r="F8" s="11">
        <f>IF(D8="Weekly",E8*52,IF(D8="Fortnightly",E8*26,IF(D8="Monthly",E8*12,0)))</f>
        <v/>
      </c>
      <c r="G8" s="11">
        <f>C8-F8</f>
        <v/>
      </c>
      <c r="H8" s="11">
        <f>IF(C8&lt;=18200,0,IF(C8&lt;=45000,(C8-18200)*0.19,IF(C8&lt;=120000,5092+(C8-45000)*0.325,IF(C8&lt;=180000,29467+(C8-120000)*0.37,51667+(C8-180000)*0.45))))</f>
        <v/>
      </c>
      <c r="I8" s="11">
        <f>IF(G8&lt;=18200,0,IF(G8&lt;=45000,(G8-18200)*0.19,IF(G8&lt;=120000,5092+(G8-45000)*0.325,IF(G8&lt;=180000,29467+(G8-120000)*0.37,51667+(G8-180000)*0.45))))</f>
        <v/>
      </c>
      <c r="J8" s="7">
        <f>H8-I8</f>
        <v/>
      </c>
      <c r="K8" s="8" t="n">
        <v>0.115</v>
      </c>
      <c r="L8" s="11">
        <f>C8*K8</f>
        <v/>
      </c>
      <c r="M8" s="11">
        <f>G8*K8</f>
        <v/>
      </c>
      <c r="N8" s="11">
        <f>C8+L8</f>
        <v/>
      </c>
      <c r="O8" s="11">
        <f>C8-H8-C8*0.02</f>
        <v/>
      </c>
      <c r="P8" s="11">
        <f>G8-I8-G8*0.02-F8</f>
        <v/>
      </c>
      <c r="Q8" s="9">
        <f>P8-O8</f>
        <v/>
      </c>
      <c r="R8" s="10" t="inlineStr">
        <is>
          <t>Gym &amp; wellness</t>
        </is>
      </c>
    </row>
    <row r="9">
      <c r="A9" s="3" t="inlineStr">
        <is>
          <t>Ethan White</t>
        </is>
      </c>
      <c r="B9" s="3" t="inlineStr">
        <is>
          <t>Canberra</t>
        </is>
      </c>
      <c r="C9" s="4" t="n">
        <v>132000</v>
      </c>
      <c r="D9" s="5" t="inlineStr">
        <is>
          <t>Monthly</t>
        </is>
      </c>
      <c r="E9" s="4" t="n">
        <v>800</v>
      </c>
      <c r="F9" s="6">
        <f>IF(D9="Weekly",E9*52,IF(D9="Fortnightly",E9*26,IF(D9="Monthly",E9*12,0)))</f>
        <v/>
      </c>
      <c r="G9" s="6">
        <f>C9-F9</f>
        <v/>
      </c>
      <c r="H9" s="6">
        <f>IF(C9&lt;=18200,0,IF(C9&lt;=45000,(C9-18200)*0.19,IF(C9&lt;=120000,5092+(C9-45000)*0.325,IF(C9&lt;=180000,29467+(C9-120000)*0.37,51667+(C9-180000)*0.45))))</f>
        <v/>
      </c>
      <c r="I9" s="6">
        <f>IF(G9&lt;=18200,0,IF(G9&lt;=45000,(G9-18200)*0.19,IF(G9&lt;=120000,5092+(G9-45000)*0.325,IF(G9&lt;=180000,29467+(G9-120000)*0.37,51667+(G9-180000)*0.45))))</f>
        <v/>
      </c>
      <c r="J9" s="7">
        <f>H9-I9</f>
        <v/>
      </c>
      <c r="K9" s="8" t="n">
        <v>0.115</v>
      </c>
      <c r="L9" s="6">
        <f>C9*K9</f>
        <v/>
      </c>
      <c r="M9" s="6">
        <f>G9*K9</f>
        <v/>
      </c>
      <c r="N9" s="6">
        <f>C9+L9</f>
        <v/>
      </c>
      <c r="O9" s="6">
        <f>C9-H9-C9*0.02</f>
        <v/>
      </c>
      <c r="P9" s="6">
        <f>G9-I9-G9*0.02-F9</f>
        <v/>
      </c>
      <c r="Q9" s="9">
        <f>P9-O9</f>
        <v/>
      </c>
      <c r="R9" s="3" t="inlineStr">
        <is>
          <t>Novated lease</t>
        </is>
      </c>
    </row>
    <row r="10">
      <c r="A10" s="10" t="inlineStr">
        <is>
          <t>Ruby Anderson</t>
        </is>
      </c>
      <c r="B10" s="10" t="inlineStr">
        <is>
          <t>Hobart</t>
        </is>
      </c>
      <c r="C10" s="4" t="n">
        <v>68900</v>
      </c>
      <c r="D10" s="5" t="inlineStr">
        <is>
          <t>Weekly</t>
        </is>
      </c>
      <c r="E10" s="4" t="n">
        <v>75</v>
      </c>
      <c r="F10" s="11">
        <f>IF(D10="Weekly",E10*52,IF(D10="Fortnightly",E10*26,IF(D10="Monthly",E10*12,0)))</f>
        <v/>
      </c>
      <c r="G10" s="11">
        <f>C10-F10</f>
        <v/>
      </c>
      <c r="H10" s="11">
        <f>IF(C10&lt;=18200,0,IF(C10&lt;=45000,(C10-18200)*0.19,IF(C10&lt;=120000,5092+(C10-45000)*0.325,IF(C10&lt;=180000,29467+(C10-120000)*0.37,51667+(C10-180000)*0.45))))</f>
        <v/>
      </c>
      <c r="I10" s="11">
        <f>IF(G10&lt;=18200,0,IF(G10&lt;=45000,(G10-18200)*0.19,IF(G10&lt;=120000,5092+(G10-45000)*0.325,IF(G10&lt;=180000,29467+(G10-120000)*0.37,51667+(G10-180000)*0.45))))</f>
        <v/>
      </c>
      <c r="J10" s="7">
        <f>H10-I10</f>
        <v/>
      </c>
      <c r="K10" s="8" t="n">
        <v>0.115</v>
      </c>
      <c r="L10" s="11">
        <f>C10*K10</f>
        <v/>
      </c>
      <c r="M10" s="11">
        <f>G10*K10</f>
        <v/>
      </c>
      <c r="N10" s="11">
        <f>C10+L10</f>
        <v/>
      </c>
      <c r="O10" s="11">
        <f>C10-H10-C10*0.02</f>
        <v/>
      </c>
      <c r="P10" s="11">
        <f>G10-I10-G10*0.02-F10</f>
        <v/>
      </c>
      <c r="Q10" s="9">
        <f>P10-O10</f>
        <v/>
      </c>
      <c r="R10" s="10" t="inlineStr">
        <is>
          <t>Additional super</t>
        </is>
      </c>
    </row>
    <row r="11">
      <c r="A11" s="3" t="inlineStr">
        <is>
          <t>Cooper Harris</t>
        </is>
      </c>
      <c r="B11" s="3" t="inlineStr">
        <is>
          <t>Newcastle</t>
        </is>
      </c>
      <c r="C11" s="4" t="n">
        <v>97500</v>
      </c>
      <c r="D11" s="5" t="inlineStr">
        <is>
          <t>Fortnightly</t>
        </is>
      </c>
      <c r="E11" s="4" t="n">
        <v>300</v>
      </c>
      <c r="F11" s="6">
        <f>IF(D11="Weekly",E11*52,IF(D11="Fortnightly",E11*26,IF(D11="Monthly",E11*12,0)))</f>
        <v/>
      </c>
      <c r="G11" s="6">
        <f>C11-F11</f>
        <v/>
      </c>
      <c r="H11" s="6">
        <f>IF(C11&lt;=18200,0,IF(C11&lt;=45000,(C11-18200)*0.19,IF(C11&lt;=120000,5092+(C11-45000)*0.325,IF(C11&lt;=180000,29467+(C11-120000)*0.37,51667+(C11-180000)*0.45))))</f>
        <v/>
      </c>
      <c r="I11" s="6">
        <f>IF(G11&lt;=18200,0,IF(G11&lt;=45000,(G11-18200)*0.19,IF(G11&lt;=120000,5092+(G11-45000)*0.325,IF(G11&lt;=180000,29467+(G11-120000)*0.37,51667+(G11-180000)*0.45))))</f>
        <v/>
      </c>
      <c r="J11" s="7">
        <f>H11-I11</f>
        <v/>
      </c>
      <c r="K11" s="8" t="n">
        <v>0.115</v>
      </c>
      <c r="L11" s="6">
        <f>C11*K11</f>
        <v/>
      </c>
      <c r="M11" s="6">
        <f>G11*K11</f>
        <v/>
      </c>
      <c r="N11" s="6">
        <f>C11+L11</f>
        <v/>
      </c>
      <c r="O11" s="6">
        <f>C11-H11-C11*0.02</f>
        <v/>
      </c>
      <c r="P11" s="6">
        <f>G11-I11-G11*0.02-F11</f>
        <v/>
      </c>
      <c r="Q11" s="9">
        <f>P11-O11</f>
        <v/>
      </c>
      <c r="R11" s="3" t="inlineStr">
        <is>
          <t>Laptop / equipment</t>
        </is>
      </c>
    </row>
    <row r="12">
      <c r="A12" s="10" t="inlineStr">
        <is>
          <t>Isla Thompson</t>
        </is>
      </c>
      <c r="B12" s="10" t="inlineStr">
        <is>
          <t>Wollongong</t>
        </is>
      </c>
      <c r="C12" s="4" t="n">
        <v>156300</v>
      </c>
      <c r="D12" s="5" t="inlineStr">
        <is>
          <t>Monthly</t>
        </is>
      </c>
      <c r="E12" s="4" t="n">
        <v>1200</v>
      </c>
      <c r="F12" s="11">
        <f>IF(D12="Weekly",E12*52,IF(D12="Fortnightly",E12*26,IF(D12="Monthly",E12*12,0)))</f>
        <v/>
      </c>
      <c r="G12" s="11">
        <f>C12-F12</f>
        <v/>
      </c>
      <c r="H12" s="11">
        <f>IF(C12&lt;=18200,0,IF(C12&lt;=45000,(C12-18200)*0.19,IF(C12&lt;=120000,5092+(C12-45000)*0.325,IF(C12&lt;=180000,29467+(C12-120000)*0.37,51667+(C12-180000)*0.45))))</f>
        <v/>
      </c>
      <c r="I12" s="11">
        <f>IF(G12&lt;=18200,0,IF(G12&lt;=45000,(G12-18200)*0.19,IF(G12&lt;=120000,5092+(G12-45000)*0.325,IF(G12&lt;=180000,29467+(G12-120000)*0.37,51667+(G12-180000)*0.45))))</f>
        <v/>
      </c>
      <c r="J12" s="7">
        <f>H12-I12</f>
        <v/>
      </c>
      <c r="K12" s="8" t="n">
        <v>0.115</v>
      </c>
      <c r="L12" s="11">
        <f>C12*K12</f>
        <v/>
      </c>
      <c r="M12" s="11">
        <f>G12*K12</f>
        <v/>
      </c>
      <c r="N12" s="11">
        <f>C12+L12</f>
        <v/>
      </c>
      <c r="O12" s="11">
        <f>C12-H12-C12*0.02</f>
        <v/>
      </c>
      <c r="P12" s="11">
        <f>G12-I12-G12*0.02-F12</f>
        <v/>
      </c>
      <c r="Q12" s="9">
        <f>P12-O12</f>
        <v/>
      </c>
      <c r="R12" s="10" t="inlineStr">
        <is>
          <t>Novated lease + laptop</t>
        </is>
      </c>
    </row>
    <row r="13">
      <c r="A13" s="12" t="inlineStr">
        <is>
          <t>TOTALS / SUMMARY</t>
        </is>
      </c>
      <c r="C13" s="13">
        <f>SUM(C3:C12)</f>
        <v/>
      </c>
      <c r="F13" s="13">
        <f>SUM(F3:F12)</f>
        <v/>
      </c>
      <c r="H13" s="13">
        <f>SUM(H3:H12)</f>
        <v/>
      </c>
      <c r="I13" s="13">
        <f>SUM(I3:I12)</f>
        <v/>
      </c>
      <c r="J13" s="13">
        <f>SUM(J3:J12)</f>
        <v/>
      </c>
      <c r="O13" s="13">
        <f>SUM(O3:O12)</f>
        <v/>
      </c>
      <c r="P13" s="13">
        <f>SUM(P3:P12)</f>
        <v/>
      </c>
      <c r="Q13" s="13">
        <f>SUM(Q3:Q12)</f>
        <v/>
      </c>
    </row>
    <row r="14"/>
    <row r="15">
      <c r="A15" s="14" t="inlineStr">
        <is>
          <t>Count using sacrifice (Annual Sacrifice &gt; 0):</t>
        </is>
      </c>
      <c r="B15" s="14">
        <f>COUNTIF(F3:F12,"&gt;0")</f>
        <v/>
      </c>
    </row>
    <row r="16">
      <c r="A16" s="14" t="inlineStr">
        <is>
          <t>Average Tax Saved ($):</t>
        </is>
      </c>
      <c r="B16" s="15">
        <f>IFERROR(AVERAGE(J3:J12),0)</f>
        <v/>
      </c>
    </row>
    <row r="17">
      <c r="A17" s="14" t="inlineStr">
        <is>
          <t>Total Annual Sacrifice ($):</t>
        </is>
      </c>
      <c r="B17" s="15">
        <f>SUM(F3:F12)</f>
        <v/>
      </c>
    </row>
  </sheetData>
  <mergeCells count="1"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16" customWidth="1" min="4" max="4"/>
    <col width="18" customWidth="1" min="5" max="5"/>
    <col width="20" customWidth="1" min="6" max="6"/>
    <col width="18" customWidth="1" min="7" max="7"/>
    <col width="16" customWidth="1" min="8" max="8"/>
    <col width="20" customWidth="1" min="9" max="9"/>
    <col width="16" customWidth="1" min="10" max="10"/>
    <col width="22" customWidth="1" min="11" max="11"/>
  </cols>
  <sheetData>
    <row r="1" ht="32" customHeight="1">
      <c r="A1" s="1" t="inlineStr">
        <is>
          <t>Salary Sacrifice Scenario Comparisons – FY 2026-27</t>
        </is>
      </c>
    </row>
    <row r="2" ht="36" customHeight="1">
      <c r="A2" s="2" t="inlineStr">
        <is>
          <t>Scenario</t>
        </is>
      </c>
      <c r="B2" s="2" t="inlineStr">
        <is>
          <t>Employee Name</t>
        </is>
      </c>
      <c r="C2" s="2" t="inlineStr">
        <is>
          <t>Gross Annual
Salary ($)</t>
        </is>
      </c>
      <c r="D2" s="2" t="inlineStr">
        <is>
          <t>Sacrifice
($ per Pay)</t>
        </is>
      </c>
      <c r="E2" s="2" t="inlineStr">
        <is>
          <t>Annual
Sacrifice ($)</t>
        </is>
      </c>
      <c r="F2" s="2" t="inlineStr">
        <is>
          <t>Taxable
Income ($)</t>
        </is>
      </c>
      <c r="G2" s="2" t="inlineStr">
        <is>
          <t>Income
Tax ($)</t>
        </is>
      </c>
      <c r="H2" s="2" t="inlineStr">
        <is>
          <t>Medicare
Levy ($)</t>
        </is>
      </c>
      <c r="I2" s="2" t="inlineStr">
        <is>
          <t>Net Annual
Pay ($)</t>
        </is>
      </c>
      <c r="J2" s="2" t="inlineStr">
        <is>
          <t>Tax Saved ($)</t>
        </is>
      </c>
      <c r="K2" s="2" t="inlineStr">
        <is>
          <t>Effective Take-
Home Rate (%)</t>
        </is>
      </c>
    </row>
    <row r="3">
      <c r="A3" s="3" t="inlineStr">
        <is>
          <t>Baseline – No Sacrifice</t>
        </is>
      </c>
      <c r="B3" s="3" t="inlineStr">
        <is>
          <t>Jack Wilson</t>
        </is>
      </c>
      <c r="C3" s="6" t="n">
        <v>92000</v>
      </c>
      <c r="D3" s="6" t="n">
        <v>0</v>
      </c>
      <c r="E3" s="6">
        <f>D3*26</f>
        <v/>
      </c>
      <c r="F3" s="6">
        <f>C3-E3</f>
        <v/>
      </c>
      <c r="G3" s="6">
        <f>IF(F3&lt;=18200,0,IF(F3&lt;=45000,(F3-18200)*0.19,IF(F3&lt;=120000,5092+(F3-45000)*0.325,IF(F3&lt;=180000,29467+(F3-120000)*0.37,51667+(F3-180000)*0.45))))</f>
        <v/>
      </c>
      <c r="H3" s="6">
        <f>F3*0.02</f>
        <v/>
      </c>
      <c r="I3" s="6">
        <f>C3-G3-H3-E3</f>
        <v/>
      </c>
      <c r="J3" s="6">
        <f>IFERROR($G$3-G3,0)</f>
        <v/>
      </c>
      <c r="K3" s="16">
        <f>IFERROR(I3/C3,0)</f>
        <v/>
      </c>
    </row>
    <row r="4">
      <c r="A4" s="10" t="inlineStr">
        <is>
          <t>Low Sacrifice $100/fn</t>
        </is>
      </c>
      <c r="B4" s="10" t="inlineStr">
        <is>
          <t>Jack Wilson</t>
        </is>
      </c>
      <c r="C4" s="11" t="n">
        <v>92000</v>
      </c>
      <c r="D4" s="11" t="n">
        <v>100</v>
      </c>
      <c r="E4" s="11">
        <f>D4*26</f>
        <v/>
      </c>
      <c r="F4" s="11">
        <f>C4-E4</f>
        <v/>
      </c>
      <c r="G4" s="11">
        <f>IF(F4&lt;=18200,0,IF(F4&lt;=45000,(F4-18200)*0.19,IF(F4&lt;=120000,5092+(F4-45000)*0.325,IF(F4&lt;=180000,29467+(F4-120000)*0.37,51667+(F4-180000)*0.45))))</f>
        <v/>
      </c>
      <c r="H4" s="11">
        <f>F4*0.02</f>
        <v/>
      </c>
      <c r="I4" s="11">
        <f>C4-G4-H4-E4</f>
        <v/>
      </c>
      <c r="J4" s="7">
        <f>IFERROR($G$3-G4,0)</f>
        <v/>
      </c>
      <c r="K4" s="17">
        <f>IFERROR(I4/C4,0)</f>
        <v/>
      </c>
    </row>
    <row r="5">
      <c r="A5" s="3" t="inlineStr">
        <is>
          <t>Mid Sacrifice $200/fn</t>
        </is>
      </c>
      <c r="B5" s="3" t="inlineStr">
        <is>
          <t>Jack Wilson</t>
        </is>
      </c>
      <c r="C5" s="6" t="n">
        <v>92000</v>
      </c>
      <c r="D5" s="6" t="n">
        <v>200</v>
      </c>
      <c r="E5" s="6">
        <f>D5*26</f>
        <v/>
      </c>
      <c r="F5" s="6">
        <f>C5-E5</f>
        <v/>
      </c>
      <c r="G5" s="6">
        <f>IF(F5&lt;=18200,0,IF(F5&lt;=45000,(F5-18200)*0.19,IF(F5&lt;=120000,5092+(F5-45000)*0.325,IF(F5&lt;=180000,29467+(F5-120000)*0.37,51667+(F5-180000)*0.45))))</f>
        <v/>
      </c>
      <c r="H5" s="6">
        <f>F5*0.02</f>
        <v/>
      </c>
      <c r="I5" s="6">
        <f>C5-G5-H5-E5</f>
        <v/>
      </c>
      <c r="J5" s="7">
        <f>IFERROR($G$3-G5,0)</f>
        <v/>
      </c>
      <c r="K5" s="16">
        <f>IFERROR(I5/C5,0)</f>
        <v/>
      </c>
    </row>
    <row r="6">
      <c r="A6" s="10" t="inlineStr">
        <is>
          <t>High Sacrifice $400/fn</t>
        </is>
      </c>
      <c r="B6" s="10" t="inlineStr">
        <is>
          <t>Jack Wilson</t>
        </is>
      </c>
      <c r="C6" s="11" t="n">
        <v>92000</v>
      </c>
      <c r="D6" s="11" t="n">
        <v>400</v>
      </c>
      <c r="E6" s="11">
        <f>D6*26</f>
        <v/>
      </c>
      <c r="F6" s="11">
        <f>C6-E6</f>
        <v/>
      </c>
      <c r="G6" s="11">
        <f>IF(F6&lt;=18200,0,IF(F6&lt;=45000,(F6-18200)*0.19,IF(F6&lt;=120000,5092+(F6-45000)*0.325,IF(F6&lt;=180000,29467+(F6-120000)*0.37,51667+(F6-180000)*0.45))))</f>
        <v/>
      </c>
      <c r="H6" s="11">
        <f>F6*0.02</f>
        <v/>
      </c>
      <c r="I6" s="11">
        <f>C6-G6-H6-E6</f>
        <v/>
      </c>
      <c r="J6" s="7">
        <f>IFERROR($G$3-G6,0)</f>
        <v/>
      </c>
      <c r="K6" s="17">
        <f>IFERROR(I6/C6,0)</f>
        <v/>
      </c>
    </row>
    <row r="7">
      <c r="A7" s="3" t="inlineStr">
        <is>
          <t>Baseline – No Sacrifice</t>
        </is>
      </c>
      <c r="B7" s="3" t="inlineStr">
        <is>
          <t>Charlotte Brown</t>
        </is>
      </c>
      <c r="C7" s="6" t="n">
        <v>145000</v>
      </c>
      <c r="D7" s="6" t="n">
        <v>0</v>
      </c>
      <c r="E7" s="6">
        <f>D7*26</f>
        <v/>
      </c>
      <c r="F7" s="6">
        <f>C7-E7</f>
        <v/>
      </c>
      <c r="G7" s="6">
        <f>IF(F7&lt;=18200,0,IF(F7&lt;=45000,(F7-18200)*0.19,IF(F7&lt;=120000,5092+(F7-45000)*0.325,IF(F7&lt;=180000,29467+(F7-120000)*0.37,51667+(F7-180000)*0.45))))</f>
        <v/>
      </c>
      <c r="H7" s="6">
        <f>F7*0.02</f>
        <v/>
      </c>
      <c r="I7" s="6">
        <f>C7-G7-H7-E7</f>
        <v/>
      </c>
      <c r="J7" s="6">
        <f>IFERROR($G$7-G7,0)</f>
        <v/>
      </c>
      <c r="K7" s="16">
        <f>IFERROR(I7/C7,0)</f>
        <v/>
      </c>
    </row>
    <row r="8">
      <c r="A8" s="10" t="inlineStr">
        <is>
          <t>Low Sacrifice $300/fn</t>
        </is>
      </c>
      <c r="B8" s="10" t="inlineStr">
        <is>
          <t>Charlotte Brown</t>
        </is>
      </c>
      <c r="C8" s="11" t="n">
        <v>145000</v>
      </c>
      <c r="D8" s="11" t="n">
        <v>300</v>
      </c>
      <c r="E8" s="11">
        <f>D8*26</f>
        <v/>
      </c>
      <c r="F8" s="11">
        <f>C8-E8</f>
        <v/>
      </c>
      <c r="G8" s="11">
        <f>IF(F8&lt;=18200,0,IF(F8&lt;=45000,(F8-18200)*0.19,IF(F8&lt;=120000,5092+(F8-45000)*0.325,IF(F8&lt;=180000,29467+(F8-120000)*0.37,51667+(F8-180000)*0.45))))</f>
        <v/>
      </c>
      <c r="H8" s="11">
        <f>F8*0.02</f>
        <v/>
      </c>
      <c r="I8" s="11">
        <f>C8-G8-H8-E8</f>
        <v/>
      </c>
      <c r="J8" s="7">
        <f>IFERROR($G$7-G8,0)</f>
        <v/>
      </c>
      <c r="K8" s="17">
        <f>IFERROR(I8/C8,0)</f>
        <v/>
      </c>
    </row>
    <row r="9">
      <c r="A9" s="3" t="inlineStr">
        <is>
          <t>Mid Sacrifice $600/fn</t>
        </is>
      </c>
      <c r="B9" s="3" t="inlineStr">
        <is>
          <t>Charlotte Brown</t>
        </is>
      </c>
      <c r="C9" s="6" t="n">
        <v>145000</v>
      </c>
      <c r="D9" s="6" t="n">
        <v>600</v>
      </c>
      <c r="E9" s="6">
        <f>D9*26</f>
        <v/>
      </c>
      <c r="F9" s="6">
        <f>C9-E9</f>
        <v/>
      </c>
      <c r="G9" s="6">
        <f>IF(F9&lt;=18200,0,IF(F9&lt;=45000,(F9-18200)*0.19,IF(F9&lt;=120000,5092+(F9-45000)*0.325,IF(F9&lt;=180000,29467+(F9-120000)*0.37,51667+(F9-180000)*0.45))))</f>
        <v/>
      </c>
      <c r="H9" s="6">
        <f>F9*0.02</f>
        <v/>
      </c>
      <c r="I9" s="6">
        <f>C9-G9-H9-E9</f>
        <v/>
      </c>
      <c r="J9" s="7">
        <f>IFERROR($G$7-G9,0)</f>
        <v/>
      </c>
      <c r="K9" s="16">
        <f>IFERROR(I9/C9,0)</f>
        <v/>
      </c>
    </row>
    <row r="10">
      <c r="A10" s="10" t="inlineStr">
        <is>
          <t>High Sacrifice $900/fn</t>
        </is>
      </c>
      <c r="B10" s="10" t="inlineStr">
        <is>
          <t>Charlotte Brown</t>
        </is>
      </c>
      <c r="C10" s="11" t="n">
        <v>145000</v>
      </c>
      <c r="D10" s="11" t="n">
        <v>900</v>
      </c>
      <c r="E10" s="11">
        <f>D10*26</f>
        <v/>
      </c>
      <c r="F10" s="11">
        <f>C10-E10</f>
        <v/>
      </c>
      <c r="G10" s="11">
        <f>IF(F10&lt;=18200,0,IF(F10&lt;=45000,(F10-18200)*0.19,IF(F10&lt;=120000,5092+(F10-45000)*0.325,IF(F10&lt;=180000,29467+(F10-120000)*0.37,51667+(F10-180000)*0.45))))</f>
        <v/>
      </c>
      <c r="H10" s="11">
        <f>F10*0.02</f>
        <v/>
      </c>
      <c r="I10" s="11">
        <f>C10-G10-H10-E10</f>
        <v/>
      </c>
      <c r="J10" s="7">
        <f>IFERROR($G$7-G10,0)</f>
        <v/>
      </c>
      <c r="K10" s="17">
        <f>IFERROR(I10/C10,0)</f>
        <v/>
      </c>
    </row>
    <row r="11">
      <c r="A11" s="3" t="inlineStr">
        <is>
          <t>Baseline – No Sacrifice</t>
        </is>
      </c>
      <c r="B11" s="3" t="inlineStr">
        <is>
          <t>Olivia Martin</t>
        </is>
      </c>
      <c r="C11" s="6" t="n">
        <v>118500</v>
      </c>
      <c r="D11" s="6" t="n">
        <v>0</v>
      </c>
      <c r="E11" s="6">
        <f>D11*12</f>
        <v/>
      </c>
      <c r="F11" s="6">
        <f>C11-E11</f>
        <v/>
      </c>
      <c r="G11" s="6">
        <f>IF(F11&lt;=18200,0,IF(F11&lt;=45000,(F11-18200)*0.19,IF(F11&lt;=120000,5092+(F11-45000)*0.325,IF(F11&lt;=180000,29467+(F11-120000)*0.37,51667+(F11-180000)*0.45))))</f>
        <v/>
      </c>
      <c r="H11" s="6">
        <f>F11*0.02</f>
        <v/>
      </c>
      <c r="I11" s="6">
        <f>C11-G11-H11-E11</f>
        <v/>
      </c>
      <c r="J11" s="6">
        <f>IFERROR($G$11-G11,0)</f>
        <v/>
      </c>
      <c r="K11" s="16">
        <f>IFERROR(I11/C11,0)</f>
        <v/>
      </c>
    </row>
    <row r="12">
      <c r="A12" s="10" t="inlineStr">
        <is>
          <t>Mid Sacrifice $600/mo</t>
        </is>
      </c>
      <c r="B12" s="10" t="inlineStr">
        <is>
          <t>Olivia Martin</t>
        </is>
      </c>
      <c r="C12" s="11" t="n">
        <v>118500</v>
      </c>
      <c r="D12" s="11" t="n">
        <v>600</v>
      </c>
      <c r="E12" s="11">
        <f>D12*12</f>
        <v/>
      </c>
      <c r="F12" s="11">
        <f>C12-E12</f>
        <v/>
      </c>
      <c r="G12" s="11">
        <f>IF(F12&lt;=18200,0,IF(F12&lt;=45000,(F12-18200)*0.19,IF(F12&lt;=120000,5092+(F12-45000)*0.325,IF(F12&lt;=180000,29467+(F12-120000)*0.37,51667+(F12-180000)*0.45))))</f>
        <v/>
      </c>
      <c r="H12" s="11">
        <f>F12*0.02</f>
        <v/>
      </c>
      <c r="I12" s="11">
        <f>C12-G12-H12-E12</f>
        <v/>
      </c>
      <c r="J12" s="7">
        <f>IFERROR($G$11-G12,0)</f>
        <v/>
      </c>
      <c r="K12" s="17">
        <f>IFERROR(I12/C12,0)</f>
        <v/>
      </c>
    </row>
    <row r="13">
      <c r="A13" s="12" t="inlineStr">
        <is>
          <t>AVERAGES</t>
        </is>
      </c>
      <c r="G13" s="13">
        <f>IFERROR(AVERAGE(G3:G12),0)</f>
        <v/>
      </c>
      <c r="I13" s="13">
        <f>IFERROR(AVERAGE(I3:I12),0)</f>
        <v/>
      </c>
      <c r="J13" s="13">
        <f>IFERROR(AVERAGE(J3:J12),0)</f>
        <v/>
      </c>
    </row>
    <row r="14"/>
    <row r="15">
      <c r="A15" s="18" t="inlineStr">
        <is>
          <t>Scenarios where sacrifice &gt; 20% of gross:</t>
        </is>
      </c>
      <c r="B15" s="18">
        <f>COUNTIF(E3:E12,"&gt;"&amp;C3*0.2)</f>
        <v/>
      </c>
    </row>
  </sheetData>
  <mergeCells count="1">
    <mergeCell ref="A1:K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4" customWidth="1" min="3" max="3"/>
    <col width="58" customWidth="1" min="4" max="4"/>
  </cols>
  <sheetData>
    <row r="1" ht="32" customHeight="1">
      <c r="A1" s="1" t="inlineStr">
        <is>
          <t>Tax, Super &amp; Compliance Assumptions – FY 2026-27</t>
        </is>
      </c>
    </row>
    <row r="2" ht="24" customHeight="1">
      <c r="A2" s="12" t="inlineStr">
        <is>
          <t>Assumption</t>
        </is>
      </c>
      <c r="B2" s="12" t="inlineStr">
        <is>
          <t>Value</t>
        </is>
      </c>
      <c r="C2" s="12" t="inlineStr">
        <is>
          <t>Unit</t>
        </is>
      </c>
      <c r="D2" s="12" t="inlineStr">
        <is>
          <t>Notes</t>
        </is>
      </c>
    </row>
    <row r="3" ht="18" customHeight="1">
      <c r="A3" s="3" t="inlineStr">
        <is>
          <t>Financial Year Start Date</t>
        </is>
      </c>
      <c r="B3" s="19" t="inlineStr">
        <is>
          <t>01/07/2026</t>
        </is>
      </c>
      <c r="C3" s="3" t="inlineStr">
        <is>
          <t>Date</t>
        </is>
      </c>
      <c r="D3" s="3" t="inlineStr">
        <is>
          <t>Australian tax year commences 1 July</t>
        </is>
      </c>
    </row>
    <row r="4">
      <c r="A4" s="10" t="inlineStr">
        <is>
          <t>Financial Year End Date</t>
        </is>
      </c>
      <c r="B4" s="20" t="inlineStr">
        <is>
          <t>30/06/2027</t>
        </is>
      </c>
      <c r="C4" s="10" t="inlineStr">
        <is>
          <t>Date</t>
        </is>
      </c>
      <c r="D4" s="10" t="inlineStr">
        <is>
          <t>Australian tax year ends 30 June</t>
        </is>
      </c>
    </row>
    <row r="5">
      <c r="A5" s="3" t="inlineStr">
        <is>
          <t>Medicare Levy Rate</t>
        </is>
      </c>
      <c r="B5" s="21" t="n">
        <v>0.02</v>
      </c>
      <c r="C5" s="3" t="inlineStr">
        <is>
          <t>%</t>
        </is>
      </c>
      <c r="D5" s="3" t="inlineStr">
        <is>
          <t>2% of taxable income for most residents</t>
        </is>
      </c>
    </row>
    <row r="6">
      <c r="A6" s="10" t="inlineStr">
        <is>
          <t>Super Guarantee Rate</t>
        </is>
      </c>
      <c r="B6" s="22" t="n">
        <v>0.115</v>
      </c>
      <c r="C6" s="10" t="inlineStr">
        <is>
          <t>%</t>
        </is>
      </c>
      <c r="D6" s="10" t="inlineStr">
        <is>
          <t>11.5% of ordinary time earnings (FY2026-27)</t>
        </is>
      </c>
    </row>
    <row r="7">
      <c r="A7" s="3" t="inlineStr">
        <is>
          <t>GST Rate</t>
        </is>
      </c>
      <c r="B7" s="21" t="n">
        <v>0.1</v>
      </c>
      <c r="C7" s="3" t="inlineStr">
        <is>
          <t>%</t>
        </is>
      </c>
      <c r="D7" s="3" t="inlineStr">
        <is>
          <t>Reference only – does not affect salary sacrifice calculations</t>
        </is>
      </c>
    </row>
    <row r="8">
      <c r="A8" s="10" t="inlineStr">
        <is>
          <t>Tax-Free Threshold</t>
        </is>
      </c>
      <c r="B8" s="23" t="n">
        <v>18200</v>
      </c>
      <c r="C8" s="10" t="inlineStr">
        <is>
          <t>$</t>
        </is>
      </c>
      <c r="D8" s="10" t="inlineStr">
        <is>
          <t>Resident taxpayers; $0 tax below this amount</t>
        </is>
      </c>
    </row>
    <row r="9">
      <c r="A9" s="3" t="inlineStr">
        <is>
          <t>Tax Bracket 1: $0 – $18,200</t>
        </is>
      </c>
      <c r="B9" s="19" t="inlineStr">
        <is>
          <t>Nil</t>
        </is>
      </c>
      <c r="C9" s="3" t="inlineStr"/>
      <c r="D9" s="3" t="inlineStr">
        <is>
          <t>0% – tax-free threshold</t>
        </is>
      </c>
    </row>
    <row r="10">
      <c r="A10" s="10" t="inlineStr">
        <is>
          <t>Tax Bracket 2: $18,201 – $45,000</t>
        </is>
      </c>
      <c r="B10" s="22" t="n">
        <v>0.19</v>
      </c>
      <c r="C10" s="10" t="inlineStr">
        <is>
          <t>%</t>
        </is>
      </c>
      <c r="D10" s="10" t="inlineStr">
        <is>
          <t>19c for each $1 over $18,200</t>
        </is>
      </c>
    </row>
    <row r="11">
      <c r="A11" s="3" t="inlineStr">
        <is>
          <t>Tax Bracket 3: $45,001 – $120,000</t>
        </is>
      </c>
      <c r="B11" s="21" t="n">
        <v>0.325</v>
      </c>
      <c r="C11" s="3" t="inlineStr">
        <is>
          <t>%</t>
        </is>
      </c>
      <c r="D11" s="3" t="inlineStr">
        <is>
          <t>$5,092 + 32.5c for each $1 over $45,000</t>
        </is>
      </c>
    </row>
    <row r="12">
      <c r="A12" s="10" t="inlineStr">
        <is>
          <t>Tax Bracket 4: $120,001 – $180,000</t>
        </is>
      </c>
      <c r="B12" s="22" t="n">
        <v>0.37</v>
      </c>
      <c r="C12" s="10" t="inlineStr">
        <is>
          <t>%</t>
        </is>
      </c>
      <c r="D12" s="10" t="inlineStr">
        <is>
          <t>$29,467 + 37c for each $1 over $120,000</t>
        </is>
      </c>
    </row>
    <row r="13">
      <c r="A13" s="3" t="inlineStr">
        <is>
          <t>Tax Bracket 5: $180,001+</t>
        </is>
      </c>
      <c r="B13" s="21" t="n">
        <v>0.45</v>
      </c>
      <c r="C13" s="3" t="inlineStr">
        <is>
          <t>%</t>
        </is>
      </c>
      <c r="D13" s="3" t="inlineStr">
        <is>
          <t>$51,667 + 45c for each $1 over $180,000</t>
        </is>
      </c>
    </row>
    <row r="14">
      <c r="A14" s="10" t="inlineStr">
        <is>
          <t>Low Income Tax Offset (LITO) – Note</t>
        </is>
      </c>
      <c r="B14" s="20" t="inlineStr">
        <is>
          <t>Not modelled</t>
        </is>
      </c>
      <c r="C14" s="10" t="inlineStr"/>
      <c r="D14" s="10" t="inlineStr">
        <is>
          <t>LITO not included for simplicity; consult ATO for full accuracy</t>
        </is>
      </c>
    </row>
    <row r="15">
      <c r="A15" s="3" t="inlineStr">
        <is>
          <t>Salary Sacrifice Warning Threshold</t>
        </is>
      </c>
      <c r="B15" s="21" t="n">
        <v>0.3</v>
      </c>
      <c r="C15" s="3" t="inlineStr">
        <is>
          <t>%</t>
        </is>
      </c>
      <c r="D15" s="3" t="inlineStr">
        <is>
          <t>Flag raised if sacrifice exceeds 30% of gross salary</t>
        </is>
      </c>
    </row>
    <row r="16">
      <c r="A16" s="10" t="inlineStr">
        <is>
          <t>FBT Rate (reference)</t>
        </is>
      </c>
      <c r="B16" s="22" t="n">
        <v>0.47</v>
      </c>
      <c r="C16" s="10" t="inlineStr">
        <is>
          <t>%</t>
        </is>
      </c>
      <c r="D16" s="10" t="inlineStr">
        <is>
          <t>Fringe Benefits Tax rate; applies to reportable fringe benefits</t>
        </is>
      </c>
    </row>
    <row r="17">
      <c r="A17" s="3" t="inlineStr">
        <is>
          <t>Concessional Contributions Cap</t>
        </is>
      </c>
      <c r="B17" s="24" t="n">
        <v>30000</v>
      </c>
      <c r="C17" s="3" t="inlineStr">
        <is>
          <t>$</t>
        </is>
      </c>
      <c r="D17" s="3" t="inlineStr">
        <is>
          <t>Pre-tax super cap FY2026-27 (incl. employer SG)</t>
        </is>
      </c>
    </row>
    <row r="18">
      <c r="A18" s="10" t="inlineStr">
        <is>
          <t>Pay Periods – Weekly</t>
        </is>
      </c>
      <c r="B18" s="23" t="n">
        <v>52</v>
      </c>
      <c r="C18" s="10" t="inlineStr">
        <is>
          <t>periods</t>
        </is>
      </c>
      <c r="D18" s="10" t="inlineStr">
        <is>
          <t>52 pay cycles per year</t>
        </is>
      </c>
    </row>
    <row r="19">
      <c r="A19" s="3" t="inlineStr">
        <is>
          <t>Pay Periods – Fortnightly</t>
        </is>
      </c>
      <c r="B19" s="24" t="n">
        <v>26</v>
      </c>
      <c r="C19" s="3" t="inlineStr">
        <is>
          <t>periods</t>
        </is>
      </c>
      <c r="D19" s="3" t="inlineStr">
        <is>
          <t>26 pay cycles per year</t>
        </is>
      </c>
    </row>
    <row r="20">
      <c r="A20" s="10" t="inlineStr">
        <is>
          <t>Pay Periods – Monthly</t>
        </is>
      </c>
      <c r="B20" s="23" t="n">
        <v>12</v>
      </c>
      <c r="C20" s="10" t="inlineStr">
        <is>
          <t>periods</t>
        </is>
      </c>
      <c r="D20" s="10" t="inlineStr">
        <is>
          <t>12 pay cycles per year</t>
        </is>
      </c>
    </row>
    <row r="21"/>
    <row r="22">
      <c r="A22" s="14" t="inlineStr">
        <is>
          <t>Count of % assumptions:</t>
        </is>
      </c>
      <c r="B22" s="14">
        <f>COUNTIF(C3:C20,"%")</f>
        <v/>
      </c>
    </row>
    <row r="23">
      <c r="A23" s="14" t="inlineStr">
        <is>
          <t>Count of $ amounts:</t>
        </is>
      </c>
      <c r="B23" s="14">
        <f>COUNTIF(C3:C20,"$")</f>
        <v/>
      </c>
    </row>
    <row r="24">
      <c r="A24" s="14" t="inlineStr">
        <is>
          <t>Sacrifice threshold in effect:</t>
        </is>
      </c>
      <c r="B24" s="14">
        <f>IF(B15&gt;0,"Yes – flag active","No")</f>
        <v/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85" customWidth="1" min="2" max="2"/>
  </cols>
  <sheetData>
    <row r="1" ht="32" customHeight="1">
      <c r="A1" s="1" t="inlineStr">
        <is>
          <t>Instructions &amp; User Guide – Salary Sacrifice Calculator</t>
        </is>
      </c>
    </row>
    <row r="2" ht="60" customHeight="1">
      <c r="A2" s="25" t="inlineStr">
        <is>
          <t>OVERVIEW</t>
        </is>
      </c>
      <c r="B2" s="26" t="inlineStr">
        <is>
          <t>This workbook calculates the impact of pre-tax salary sacrifice arrangements for Australian resident employees under FY 2026-27 tax rules. Results are indicative only and should not replace advice from a registered tax agent, payroll specialist, or financial adviser.</t>
        </is>
      </c>
    </row>
    <row r="3" ht="200" customHeight="1">
      <c r="A3" s="27" t="inlineStr">
        <is>
          <t>SHEET: Calculator</t>
        </is>
      </c>
      <c r="B3" s="26" t="inlineStr">
        <is>
          <t>Enter employee details in the yellow (pale) cells:
  • Column C – Gross Annual Salary ($): total before-tax salary
  • Column D – Pay Frequency: Weekly, Fortnightly, or Monthly
  • Column E – Pre-Tax Sacrifice ($ per Pay): the amount sacrificed each pay period
  • Column K – Super Rate (%): defaults to 11.5% (FY2026-27 SG rate)
Calculated fields (do not edit):
  • Annual Sacrifice = per-pay amount × pay periods
  • Taxable Income = Gross Salary − Annual Sacrifice
  • Income Tax is calculated using ATO resident tax brackets
  • Net Pay Before/After shows the real cash impact on take-home pay
  • Net Pay Difference (red) shows the reduction in cash pay – this is expected, as the sacrifice reduces taxable income and tax, but also reduces cash pay</t>
        </is>
      </c>
    </row>
    <row r="4" ht="88" customHeight="1">
      <c r="A4" s="27" t="inlineStr">
        <is>
          <t>SHEET: Comparisons</t>
        </is>
      </c>
      <c r="B4" s="26" t="inlineStr">
        <is>
          <t>This sheet shows side-by-side scenarios for selected employees at various sacrifice levels. Compare Net Annual Pay and Tax Saved across scenarios.
  • The clustered column chart visualises Net Pay vs Tax Saved per scenario
  • A warning count flags scenarios where annual sacrifice exceeds 20% of gross
  • Baseline rows (no sacrifice) are included for each employee grouping</t>
        </is>
      </c>
    </row>
    <row r="5" ht="120" customHeight="1">
      <c r="A5" s="25" t="inlineStr">
        <is>
          <t>SHEET: Assumptions</t>
        </is>
      </c>
      <c r="B5" s="26" t="inlineStr">
        <is>
          <t>Central settings for the workbook. Key values:
  • Medicare Levy: 2% of taxable income
  • Super Guarantee Rate: 11.5% (FY2026-27)
  • Tax brackets reflect ATO resident rates effective 1 July 2026
  • The Low Income Tax Offset (LITO) is NOT modelled here for simplicity
  • Concessional contributions cap: $30,000 (includes employer SG)
  • GST (10%) is listed for reference only – it does not affect payroll sacrifice</t>
        </is>
      </c>
    </row>
    <row r="6" ht="88" customHeight="1">
      <c r="A6" s="27" t="inlineStr">
        <is>
          <t>TAX BRACKETS FY2026-27</t>
        </is>
      </c>
      <c r="B6" s="26" t="inlineStr">
        <is>
          <t>$0 – $18,200:        Nil
$18,201 – $45,000:   19c per $1 over $18,200
$45,001 – $120,000:  $5,092 + 32.5c per $1 over $45,000
$120,001 – $180,000: $29,467 + 37c per $1 over $120,000
$180,001+:           $51,667 + 45c per $1 over $180,000</t>
        </is>
      </c>
    </row>
    <row r="7" ht="88" customHeight="1">
      <c r="A7" s="27" t="inlineStr">
        <is>
          <t>SALARY SACRIFICE NOTES</t>
        </is>
      </c>
      <c r="B7" s="26" t="inlineStr">
        <is>
          <t>• Pre-tax salary sacrifice reduces taxable income but also reduces cash take-home pay
• Common sacrifice items: novated leases, additional super, laptops, portable devices
• Reportable Fringe Benefits may affect your income for other purposes (e.g., HECS, family tax benefit, private health insurance surcharge)
• Salary sacrifice into super counts toward the $30,000 concessional cap
• FBT may apply to non-exempt benefits – seek specialist advice</t>
        </is>
      </c>
    </row>
    <row r="8" ht="72" customHeight="1">
      <c r="A8" s="25" t="inlineStr">
        <is>
          <t>SUPER NOTES</t>
        </is>
      </c>
      <c r="B8" s="26" t="inlineStr">
        <is>
          <t>• Employer Super Before = Gross Salary × Super Rate
• Employer Super After = Taxable Income × Super Rate
• If salary sacrifice reduces ordinary time earnings, employer SG may also reduce – check your employment contract or Modern Award
• Total Package Value = Gross Salary + Employer Super (before sacrifice)</t>
        </is>
      </c>
    </row>
    <row r="9" ht="104" customHeight="1">
      <c r="A9" s="27" t="inlineStr">
        <is>
          <t>COLOUR LEGEND</t>
        </is>
      </c>
      <c r="B9" s="26" t="inlineStr">
        <is>
          <t xml:space="preserve">  DARK NAVY (#1E293B)  – Header rows
  DARK GREEN (#006A4E) – Sub-headers and summary rows
  PALE YELLOW (#FFFBEB) – Input cells (enter data here)
  LIGHT MINT (#F8FAFC)  – Alternating data rows
  GREEN text/fill        – Positive values (tax saved, savings)
  RED text/fill          – Negative values (net pay reduction, alerts)</t>
        </is>
      </c>
    </row>
    <row r="10" ht="60" customHeight="1">
      <c r="A10" s="27" t="inlineStr">
        <is>
          <t>DISCLAIMER</t>
        </is>
      </c>
      <c r="B10" s="26" t="inlineStr">
        <is>
          <t>This workbook is provided for educational and planning purposes only. It does not constitute financial, tax, or legal advice. Always consult a registered tax agent or qualified financial adviser before making decisions regarding salary sacrifice arrangements. Tax legislation may change.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2026-06-18T12:04:50Z</dcterms:created>
  <dcterms:modified xmlns:dcterms="http://purl.org/dc/terms/" xmlns:xsi="http://www.w3.org/2001/XMLSchema-instance" xsi:type="dcterms:W3CDTF">2026-06-18T12:04:50Z</dcterms:modified>
</cp:coreProperties>
</file>