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MSF Transactions" sheetId="1" state="visible" r:id="rId1"/>
    <sheet xmlns:r="http://schemas.openxmlformats.org/officeDocument/2006/relationships" name="SMSF 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sz val="10"/>
    </font>
    <font>
      <name val="Calibri"/>
      <b val="1"/>
      <color rgb="000F766E"/>
      <sz val="11"/>
    </font>
  </fonts>
  <fills count="10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EFF6FF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4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/>
    </xf>
    <xf numFmtId="165" fontId="3" fillId="6" borderId="1" applyAlignment="1" pivotButton="0" quotePrefix="0" xfId="0">
      <alignment horizontal="right" vertical="center"/>
    </xf>
    <xf numFmtId="0" fontId="0" fillId="3" borderId="1" pivotButton="0" quotePrefix="0" xfId="0"/>
    <xf numFmtId="0" fontId="4" fillId="3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right" vertical="center"/>
    </xf>
    <xf numFmtId="0" fontId="4" fillId="7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left" vertical="center"/>
    </xf>
    <xf numFmtId="165" fontId="6" fillId="8" borderId="1" applyAlignment="1" pivotButton="0" quotePrefix="0" xfId="0">
      <alignment horizontal="right" vertical="center"/>
    </xf>
    <xf numFmtId="0" fontId="5" fillId="9" borderId="1" applyAlignment="1" pivotButton="0" quotePrefix="0" xfId="0">
      <alignment horizontal="left" vertical="center"/>
    </xf>
    <xf numFmtId="165" fontId="6" fillId="9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left" vertical="center"/>
    </xf>
    <xf numFmtId="165" fontId="6" fillId="4" borderId="1" applyAlignment="1" pivotButton="0" quotePrefix="0" xfId="0">
      <alignment horizontal="right" vertical="center"/>
    </xf>
    <xf numFmtId="3" fontId="6" fillId="4" borderId="1" applyAlignment="1" pivotButton="0" quotePrefix="0" xfId="0">
      <alignment horizontal="right" vertical="center"/>
    </xf>
    <xf numFmtId="0" fontId="5" fillId="4" borderId="1" applyAlignment="1" pivotButton="0" quotePrefix="0" xfId="0">
      <alignment horizontal="center" vertical="center" wrapText="1"/>
    </xf>
    <xf numFmtId="3" fontId="3" fillId="4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center" vertical="center" wrapText="1"/>
    </xf>
    <xf numFmtId="3" fontId="3" fillId="6" borderId="1" applyAlignment="1" pivotButton="0" quotePrefix="0" xfId="0">
      <alignment horizontal="right" vertical="center"/>
    </xf>
    <xf numFmtId="3" fontId="4" fillId="3" borderId="1" applyAlignment="1" pivotButton="0" quotePrefix="0" xfId="0">
      <alignment horizontal="right" vertical="center"/>
    </xf>
    <xf numFmtId="0" fontId="5" fillId="0" borderId="0" pivotButton="0" quotePrefix="0" xfId="0"/>
    <xf numFmtId="0" fontId="2" fillId="7" borderId="1" applyAlignment="1" pivotButton="0" quotePrefix="0" xfId="0">
      <alignment horizontal="center" vertical="center" wrapText="1"/>
    </xf>
    <xf numFmtId="0" fontId="0" fillId="8" borderId="0" pivotButton="0" quotePrefix="0" xfId="0"/>
    <xf numFmtId="0" fontId="5" fillId="8" borderId="1" applyAlignment="1" pivotButton="0" quotePrefix="0" xfId="0">
      <alignment horizontal="left" vertical="top" wrapText="1"/>
    </xf>
    <xf numFmtId="0" fontId="3" fillId="8" borderId="1" applyAlignment="1" pivotButton="0" quotePrefix="0" xfId="0">
      <alignment horizontal="left" vertical="top" wrapText="1"/>
    </xf>
    <xf numFmtId="0" fontId="0" fillId="4" borderId="0" pivotButton="0" quotePrefix="0" xfId="0"/>
    <xf numFmtId="0" fontId="5" fillId="4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  <xf numFmtId="164" fontId="3" fillId="4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4" fontId="3" fillId="6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165" fontId="6" fillId="8" borderId="1" applyAlignment="1" pivotButton="0" quotePrefix="0" xfId="0">
      <alignment horizontal="right" vertical="center"/>
    </xf>
    <xf numFmtId="165" fontId="6" fillId="9" borderId="1" applyAlignment="1" pivotButton="0" quotePrefix="0" xfId="0">
      <alignment horizontal="right" vertical="center"/>
    </xf>
    <xf numFmtId="165" fontId="6" fillId="4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name val="Calibri"/>
        <b val="1"/>
        <color rgb="0016A34A"/>
      </font>
      <fill>
        <patternFill patternType="solid">
          <fgColor rgb="00DCFCE7"/>
        </patternFill>
      </fill>
    </dxf>
    <dxf>
      <font>
        <name val="Calibri"/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Contributions vs Expenses — FY2026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'SMSF Summary'!B14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'SMSF Summary'!$A$15:$A$26</f>
            </numRef>
          </cat>
          <val>
            <numRef>
              <f>'SMSF Summary'!$B$15:$B$26</f>
            </numRef>
          </val>
        </ser>
        <ser>
          <idx val="1"/>
          <order val="1"/>
          <tx>
            <strRef>
              <f>'SMSF Summary'!E14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'SMSF Summary'!$A$15:$A$26</f>
            </numRef>
          </cat>
          <val>
            <numRef>
              <f>'SMSF Summary'!$E$15:$E$26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(AUD)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Expense Split by Category</a:t>
            </a:r>
          </a:p>
        </rich>
      </tx>
    </title>
    <plotArea>
      <pieChart>
        <varyColors val="1"/>
        <ser>
          <idx val="0"/>
          <order val="0"/>
          <tx>
            <strRef>
              <f>'SMSF Summary'!B46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4B8A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'SMSF Summary'!$A$47:$A$50</f>
            </numRef>
          </cat>
          <val>
            <numRef>
              <f>'SMSF Summary'!$B$47:$B$50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28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28</row>
      <rowOff>0</rowOff>
    </from>
    <ext cx="5760000" cy="46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20" customWidth="1" min="3" max="3"/>
    <col width="15" customWidth="1" min="4" max="4"/>
    <col width="18" customWidth="1" min="5" max="5"/>
    <col width="32" customWidth="1" min="6" max="6"/>
    <col width="18" customWidth="1" min="7" max="7"/>
    <col width="22" customWidth="1" min="8" max="8"/>
    <col width="16" customWidth="1" min="9" max="9"/>
    <col width="16" customWidth="1" min="10" max="10"/>
    <col width="14" customWidth="1" min="11" max="11"/>
    <col width="20" customWidth="1" min="12" max="12"/>
    <col width="18" customWidth="1" min="13" max="13"/>
    <col width="18" customWidth="1" min="14" max="14"/>
    <col width="28" customWidth="1" min="15" max="15"/>
  </cols>
  <sheetData>
    <row r="1" ht="36" customHeight="1">
      <c r="A1" s="1" t="inlineStr">
        <is>
          <t>SELF MANAGED SUPER FUND (SMSF) — TRANSACTION REGISTER</t>
        </is>
      </c>
      <c r="B1" s="38" t="n"/>
      <c r="C1" s="38" t="n"/>
      <c r="D1" s="38" t="n"/>
      <c r="E1" s="38" t="n"/>
      <c r="F1" s="38" t="n"/>
      <c r="G1" s="38" t="n"/>
      <c r="H1" s="38" t="n"/>
      <c r="I1" s="38" t="n"/>
      <c r="J1" s="38" t="n"/>
      <c r="K1" s="38" t="n"/>
      <c r="L1" s="38" t="n"/>
      <c r="M1" s="38" t="n"/>
      <c r="N1" s="38" t="n"/>
      <c r="O1" s="39" t="n"/>
    </row>
    <row r="2" ht="32" customHeight="1">
      <c r="A2" s="2" t="inlineStr">
        <is>
          <t>Transaction Date</t>
        </is>
      </c>
      <c r="B2" s="2" t="inlineStr">
        <is>
          <t>Financial Year</t>
        </is>
      </c>
      <c r="C2" s="2" t="inlineStr">
        <is>
          <t>Member / Source</t>
        </is>
      </c>
      <c r="D2" s="2" t="inlineStr">
        <is>
          <t>Category</t>
        </is>
      </c>
      <c r="E2" s="2" t="inlineStr">
        <is>
          <t>Transaction Type</t>
        </is>
      </c>
      <c r="F2" s="2" t="inlineStr">
        <is>
          <t>Description</t>
        </is>
      </c>
      <c r="G2" s="2" t="inlineStr">
        <is>
          <t>Fund Account</t>
        </is>
      </c>
      <c r="H2" s="2" t="inlineStr">
        <is>
          <t>Contribution Type</t>
        </is>
      </c>
      <c r="I2" s="2" t="inlineStr">
        <is>
          <t>Gross Amount ($)</t>
        </is>
      </c>
      <c r="J2" s="2" t="inlineStr">
        <is>
          <t>GST Component ($)</t>
        </is>
      </c>
      <c r="K2" s="2" t="inlineStr">
        <is>
          <t>Net Amount ($)</t>
        </is>
      </c>
      <c r="L2" s="2" t="inlineStr">
        <is>
          <t>Taxable / Non-Taxable</t>
        </is>
      </c>
      <c r="M2" s="2" t="inlineStr">
        <is>
          <t>Related Member</t>
        </is>
      </c>
      <c r="N2" s="2" t="inlineStr">
        <is>
          <t>BAS / Compliance Flag</t>
        </is>
      </c>
      <c r="O2" s="2" t="inlineStr">
        <is>
          <t>Notes</t>
        </is>
      </c>
    </row>
    <row r="3" ht="20" customHeight="1">
      <c r="A3" s="40" t="n">
        <v>46208</v>
      </c>
      <c r="B3" s="4">
        <f>IF(MONTH(A3)&gt;=7,YEAR(A3)&amp;"-"&amp;TEXT(YEAR(A3)+1,"0000"),TEXT(YEAR(A3)-1,"0000")&amp;"-"&amp;YEAR(A3))</f>
        <v/>
      </c>
      <c r="C3" s="5" t="inlineStr">
        <is>
          <t>Olivia Chen</t>
        </is>
      </c>
      <c r="D3" s="4" t="inlineStr">
        <is>
          <t>Contribution</t>
        </is>
      </c>
      <c r="E3" s="6" t="inlineStr">
        <is>
          <t>Personal After-Tax Contribution</t>
        </is>
      </c>
      <c r="F3" s="5" t="inlineStr">
        <is>
          <t>Personal non-concessional contribution</t>
        </is>
      </c>
      <c r="G3" s="4" t="inlineStr">
        <is>
          <t>Cash Account</t>
        </is>
      </c>
      <c r="H3" s="7" t="inlineStr">
        <is>
          <t>Non-Concessional</t>
        </is>
      </c>
      <c r="I3" s="41" t="n">
        <v>15000</v>
      </c>
      <c r="J3" s="41" t="n">
        <v>0</v>
      </c>
      <c r="K3" s="42">
        <f>I3-J3</f>
        <v/>
      </c>
      <c r="L3" s="4" t="inlineStr">
        <is>
          <t>Non-Taxable</t>
        </is>
      </c>
      <c r="M3" s="6" t="inlineStr">
        <is>
          <t>Olivia Chen</t>
        </is>
      </c>
      <c r="N3" s="4" t="inlineStr">
        <is>
          <t>OK</t>
        </is>
      </c>
      <c r="O3" s="5" t="inlineStr">
        <is>
          <t>Member voluntary contribution</t>
        </is>
      </c>
    </row>
    <row r="4" ht="20" customHeight="1">
      <c r="A4" s="43" t="n">
        <v>46221</v>
      </c>
      <c r="B4" s="11">
        <f>IF(MONTH(A4)&gt;=7,YEAR(A4)&amp;"-"&amp;TEXT(YEAR(A4)+1,"0000"),TEXT(YEAR(A4)-1,"0000")&amp;"-"&amp;YEAR(A4))</f>
        <v/>
      </c>
      <c r="C4" s="5" t="inlineStr">
        <is>
          <t>SMSF Bank</t>
        </is>
      </c>
      <c r="D4" s="11" t="inlineStr">
        <is>
          <t>Income</t>
        </is>
      </c>
      <c r="E4" s="12" t="inlineStr">
        <is>
          <t>Dividends from ASX ETF</t>
        </is>
      </c>
      <c r="F4" s="5" t="inlineStr">
        <is>
          <t>Dividend income — Vanguard ASX 300 ETF</t>
        </is>
      </c>
      <c r="G4" s="11" t="inlineStr">
        <is>
          <t>Cash Account</t>
        </is>
      </c>
      <c r="H4" s="7" t="inlineStr"/>
      <c r="I4" s="41" t="n">
        <v>420</v>
      </c>
      <c r="J4" s="41" t="n">
        <v>0</v>
      </c>
      <c r="K4" s="44">
        <f>I4-J4</f>
        <v/>
      </c>
      <c r="L4" s="11" t="inlineStr">
        <is>
          <t>Taxable</t>
        </is>
      </c>
      <c r="M4" s="12" t="inlineStr"/>
      <c r="N4" s="11" t="inlineStr">
        <is>
          <t>OK</t>
        </is>
      </c>
      <c r="O4" s="5" t="inlineStr">
        <is>
          <t>Franked dividend received</t>
        </is>
      </c>
    </row>
    <row r="5" ht="20" customHeight="1">
      <c r="A5" s="40" t="n">
        <v>46236</v>
      </c>
      <c r="B5" s="4">
        <f>IF(MONTH(A5)&gt;=7,YEAR(A5)&amp;"-"&amp;TEXT(YEAR(A5)+1,"0000"),TEXT(YEAR(A5)-1,"0000")&amp;"-"&amp;YEAR(A5))</f>
        <v/>
      </c>
      <c r="C5" s="5" t="inlineStr">
        <is>
          <t>Liam O'Connor</t>
        </is>
      </c>
      <c r="D5" s="4" t="inlineStr">
        <is>
          <t>Contribution</t>
        </is>
      </c>
      <c r="E5" s="6" t="inlineStr">
        <is>
          <t>Employer SG Contribution</t>
        </is>
      </c>
      <c r="F5" s="5" t="inlineStr">
        <is>
          <t>Super Guarantee contribution from employer</t>
        </is>
      </c>
      <c r="G5" s="4" t="inlineStr">
        <is>
          <t>Cash Account</t>
        </is>
      </c>
      <c r="H5" s="7" t="inlineStr">
        <is>
          <t>Concessional</t>
        </is>
      </c>
      <c r="I5" s="41" t="n">
        <v>8250</v>
      </c>
      <c r="J5" s="41" t="n">
        <v>0</v>
      </c>
      <c r="K5" s="42">
        <f>I5-J5</f>
        <v/>
      </c>
      <c r="L5" s="4" t="inlineStr">
        <is>
          <t>Taxable</t>
        </is>
      </c>
      <c r="M5" s="6" t="inlineStr">
        <is>
          <t>Liam O'Connor</t>
        </is>
      </c>
      <c r="N5" s="4" t="inlineStr">
        <is>
          <t>OK</t>
        </is>
      </c>
      <c r="O5" s="5" t="inlineStr">
        <is>
          <t>SG rate 11.5% of OTE</t>
        </is>
      </c>
    </row>
    <row r="6" ht="20" customHeight="1">
      <c r="A6" s="43" t="n">
        <v>46248</v>
      </c>
      <c r="B6" s="11">
        <f>IF(MONTH(A6)&gt;=7,YEAR(A6)&amp;"-"&amp;TEXT(YEAR(A6)+1,"0000"),TEXT(YEAR(A6)-1,"0000")&amp;"-"&amp;YEAR(A6))</f>
        <v/>
      </c>
      <c r="C6" s="5" t="inlineStr">
        <is>
          <t>Fund</t>
        </is>
      </c>
      <c r="D6" s="11" t="inlineStr">
        <is>
          <t>Expense</t>
        </is>
      </c>
      <c r="E6" s="12" t="inlineStr">
        <is>
          <t>Accounting and Audit Fee</t>
        </is>
      </c>
      <c r="F6" s="5" t="inlineStr">
        <is>
          <t>Annual audit and accounting fee — SMSF</t>
        </is>
      </c>
      <c r="G6" s="11" t="inlineStr">
        <is>
          <t>Cash Account</t>
        </is>
      </c>
      <c r="H6" s="7" t="inlineStr"/>
      <c r="I6" s="41" t="n">
        <v>1650</v>
      </c>
      <c r="J6" s="41" t="n">
        <v>150</v>
      </c>
      <c r="K6" s="44">
        <f>I6-J6</f>
        <v/>
      </c>
      <c r="L6" s="11" t="inlineStr">
        <is>
          <t>Non-Taxable</t>
        </is>
      </c>
      <c r="M6" s="12" t="inlineStr"/>
      <c r="N6" s="11" t="inlineStr">
        <is>
          <t>Review</t>
        </is>
      </c>
      <c r="O6" s="5" t="inlineStr">
        <is>
          <t>GST inclusive — deductible</t>
        </is>
      </c>
    </row>
    <row r="7" ht="20" customHeight="1">
      <c r="A7" s="40" t="n">
        <v>46266</v>
      </c>
      <c r="B7" s="4">
        <f>IF(MONTH(A7)&gt;=7,YEAR(A7)&amp;"-"&amp;TEXT(YEAR(A7)+1,"0000"),TEXT(YEAR(A7)-1,"0000")&amp;"-"&amp;YEAR(A7))</f>
        <v/>
      </c>
      <c r="C7" s="5" t="inlineStr">
        <is>
          <t>Fund</t>
        </is>
      </c>
      <c r="D7" s="4" t="inlineStr">
        <is>
          <t>Expense</t>
        </is>
      </c>
      <c r="E7" s="6" t="inlineStr">
        <is>
          <t>ATO Supervisory Levy</t>
        </is>
      </c>
      <c r="F7" s="5" t="inlineStr">
        <is>
          <t>Annual ATO SMSF supervisory levy 2025-26</t>
        </is>
      </c>
      <c r="G7" s="4" t="inlineStr">
        <is>
          <t>Cash Account</t>
        </is>
      </c>
      <c r="H7" s="7" t="inlineStr"/>
      <c r="I7" s="41" t="n">
        <v>259</v>
      </c>
      <c r="J7" s="41" t="n">
        <v>0</v>
      </c>
      <c r="K7" s="42">
        <f>I7-J7</f>
        <v/>
      </c>
      <c r="L7" s="4" t="inlineStr">
        <is>
          <t>Non-Taxable</t>
        </is>
      </c>
      <c r="M7" s="6" t="inlineStr"/>
      <c r="N7" s="4" t="inlineStr">
        <is>
          <t>OK</t>
        </is>
      </c>
      <c r="O7" s="5" t="inlineStr">
        <is>
          <t>Non-deductible levy</t>
        </is>
      </c>
    </row>
    <row r="8" ht="20" customHeight="1">
      <c r="A8" s="43" t="n">
        <v>46280</v>
      </c>
      <c r="B8" s="11">
        <f>IF(MONTH(A8)&gt;=7,YEAR(A8)&amp;"-"&amp;TEXT(YEAR(A8)+1,"0000"),TEXT(YEAR(A8)-1,"0000")&amp;"-"&amp;YEAR(A8))</f>
        <v/>
      </c>
      <c r="C8" s="5" t="inlineStr">
        <is>
          <t>Charlotte Brown</t>
        </is>
      </c>
      <c r="D8" s="11" t="inlineStr">
        <is>
          <t>Pension</t>
        </is>
      </c>
      <c r="E8" s="12" t="inlineStr">
        <is>
          <t>Account-Based Pension Payment</t>
        </is>
      </c>
      <c r="F8" s="5" t="inlineStr">
        <is>
          <t>Monthly pension drawdown payment</t>
        </is>
      </c>
      <c r="G8" s="11" t="inlineStr">
        <is>
          <t>Pension Account</t>
        </is>
      </c>
      <c r="H8" s="7" t="inlineStr"/>
      <c r="I8" s="41" t="n">
        <v>12000</v>
      </c>
      <c r="J8" s="41" t="n">
        <v>0</v>
      </c>
      <c r="K8" s="44">
        <f>I8-J8</f>
        <v/>
      </c>
      <c r="L8" s="11" t="inlineStr">
        <is>
          <t>Non-Taxable</t>
        </is>
      </c>
      <c r="M8" s="12" t="inlineStr">
        <is>
          <t>Charlotte Brown</t>
        </is>
      </c>
      <c r="N8" s="11" t="inlineStr">
        <is>
          <t>OK</t>
        </is>
      </c>
      <c r="O8" s="5" t="inlineStr">
        <is>
          <t>Pension phase — tax free</t>
        </is>
      </c>
    </row>
    <row r="9" ht="20" customHeight="1">
      <c r="A9" s="40" t="n">
        <v>46317</v>
      </c>
      <c r="B9" s="4">
        <f>IF(MONTH(A9)&gt;=7,YEAR(A9)&amp;"-"&amp;TEXT(YEAR(A9)+1,"0000"),TEXT(YEAR(A9)-1,"0000")&amp;"-"&amp;YEAR(A9))</f>
        <v/>
      </c>
      <c r="C9" s="5" t="inlineStr">
        <is>
          <t>Fund</t>
        </is>
      </c>
      <c r="D9" s="4" t="inlineStr">
        <is>
          <t>Expense</t>
        </is>
      </c>
      <c r="E9" s="6" t="inlineStr">
        <is>
          <t>Brokerage on Share Purchase</t>
        </is>
      </c>
      <c r="F9" s="5" t="inlineStr">
        <is>
          <t>Brokerage fee — BHP shares purchase</t>
        </is>
      </c>
      <c r="G9" s="4" t="inlineStr">
        <is>
          <t>Cash Account</t>
        </is>
      </c>
      <c r="H9" s="7" t="inlineStr"/>
      <c r="I9" s="41" t="n">
        <v>88</v>
      </c>
      <c r="J9" s="41" t="n">
        <v>8</v>
      </c>
      <c r="K9" s="42">
        <f>I9-J9</f>
        <v/>
      </c>
      <c r="L9" s="4" t="inlineStr">
        <is>
          <t>Taxable</t>
        </is>
      </c>
      <c r="M9" s="6" t="inlineStr"/>
      <c r="N9" s="4" t="inlineStr">
        <is>
          <t>OK</t>
        </is>
      </c>
      <c r="O9" s="5" t="inlineStr">
        <is>
          <t>Capital cost — capitalised</t>
        </is>
      </c>
    </row>
    <row r="10" ht="20" customHeight="1">
      <c r="A10" s="43" t="n">
        <v>46331</v>
      </c>
      <c r="B10" s="11">
        <f>IF(MONTH(A10)&gt;=7,YEAR(A10)&amp;"-"&amp;TEXT(YEAR(A10)+1,"0000"),TEXT(YEAR(A10)-1,"0000")&amp;"-"&amp;YEAR(A10))</f>
        <v/>
      </c>
      <c r="C10" s="5" t="inlineStr">
        <is>
          <t>Noah Wilson</t>
        </is>
      </c>
      <c r="D10" s="11" t="inlineStr">
        <is>
          <t>Contribution</t>
        </is>
      </c>
      <c r="E10" s="12" t="inlineStr">
        <is>
          <t>Spouse Contribution Splitting</t>
        </is>
      </c>
      <c r="F10" s="5" t="inlineStr">
        <is>
          <t>Contribution split from Noah Wilson</t>
        </is>
      </c>
      <c r="G10" s="11" t="inlineStr">
        <is>
          <t>Cash Account</t>
        </is>
      </c>
      <c r="H10" s="7" t="inlineStr">
        <is>
          <t>Non-Concessional</t>
        </is>
      </c>
      <c r="I10" s="41" t="n">
        <v>5000</v>
      </c>
      <c r="J10" s="41" t="n">
        <v>0</v>
      </c>
      <c r="K10" s="44">
        <f>I10-J10</f>
        <v/>
      </c>
      <c r="L10" s="11" t="inlineStr">
        <is>
          <t>Non-Taxable</t>
        </is>
      </c>
      <c r="M10" s="12" t="inlineStr">
        <is>
          <t>Charlotte Brown</t>
        </is>
      </c>
      <c r="N10" s="11" t="inlineStr">
        <is>
          <t>OK</t>
        </is>
      </c>
      <c r="O10" s="5" t="inlineStr">
        <is>
          <t>Spouse split approved</t>
        </is>
      </c>
    </row>
    <row r="11" ht="20" customHeight="1">
      <c r="A11" s="40" t="n">
        <v>46345</v>
      </c>
      <c r="B11" s="4">
        <f>IF(MONTH(A11)&gt;=7,YEAR(A11)&amp;"-"&amp;TEXT(YEAR(A11)+1,"0000"),TEXT(YEAR(A11)-1,"0000")&amp;"-"&amp;YEAR(A11))</f>
        <v/>
      </c>
      <c r="C11" s="5" t="inlineStr">
        <is>
          <t>Fund</t>
        </is>
      </c>
      <c r="D11" s="4" t="inlineStr">
        <is>
          <t>Expense</t>
        </is>
      </c>
      <c r="E11" s="6" t="inlineStr">
        <is>
          <t>Insurance Premium</t>
        </is>
      </c>
      <c r="F11" s="5" t="inlineStr">
        <is>
          <t>Life and TPD insurance premium payment</t>
        </is>
      </c>
      <c r="G11" s="4" t="inlineStr">
        <is>
          <t>Cash Account</t>
        </is>
      </c>
      <c r="H11" s="7" t="inlineStr"/>
      <c r="I11" s="41" t="n">
        <v>1240</v>
      </c>
      <c r="J11" s="41" t="n">
        <v>0</v>
      </c>
      <c r="K11" s="42">
        <f>I11-J11</f>
        <v/>
      </c>
      <c r="L11" s="4" t="inlineStr">
        <is>
          <t>Non-Taxable</t>
        </is>
      </c>
      <c r="M11" s="6" t="inlineStr"/>
      <c r="N11" s="4" t="inlineStr">
        <is>
          <t>OK</t>
        </is>
      </c>
      <c r="O11" s="5" t="inlineStr">
        <is>
          <t>Fund-level insurance policy</t>
        </is>
      </c>
    </row>
    <row r="12" ht="20" customHeight="1">
      <c r="A12" s="43" t="n">
        <v>46368</v>
      </c>
      <c r="B12" s="11">
        <f>IF(MONTH(A12)&gt;=7,YEAR(A12)&amp;"-"&amp;TEXT(YEAR(A12)+1,"0000"),TEXT(YEAR(A12)-1,"0000")&amp;"-"&amp;YEAR(A12))</f>
        <v/>
      </c>
      <c r="C12" s="5" t="inlineStr">
        <is>
          <t>Fund</t>
        </is>
      </c>
      <c r="D12" s="11" t="inlineStr">
        <is>
          <t>Income</t>
        </is>
      </c>
      <c r="E12" s="12" t="inlineStr">
        <is>
          <t>Interest from Term Deposit</t>
        </is>
      </c>
      <c r="F12" s="5" t="inlineStr">
        <is>
          <t>Interest income — ANZ Term Deposit 6mth</t>
        </is>
      </c>
      <c r="G12" s="11" t="inlineStr">
        <is>
          <t>Cash Account</t>
        </is>
      </c>
      <c r="H12" s="7" t="inlineStr"/>
      <c r="I12" s="41" t="n">
        <v>1125</v>
      </c>
      <c r="J12" s="41" t="n">
        <v>0</v>
      </c>
      <c r="K12" s="44">
        <f>I12-J12</f>
        <v/>
      </c>
      <c r="L12" s="11" t="inlineStr">
        <is>
          <t>Taxable</t>
        </is>
      </c>
      <c r="M12" s="12" t="inlineStr"/>
      <c r="N12" s="11" t="inlineStr">
        <is>
          <t>OK</t>
        </is>
      </c>
      <c r="O12" s="5" t="inlineStr">
        <is>
          <t>Matures 12/03/2027</t>
        </is>
      </c>
    </row>
    <row r="13">
      <c r="A13" s="14" t="inlineStr"/>
      <c r="B13" s="14" t="inlineStr"/>
      <c r="C13" s="15" t="inlineStr">
        <is>
          <t>TOTALS</t>
        </is>
      </c>
      <c r="D13" s="14" t="inlineStr"/>
      <c r="E13" s="14" t="inlineStr"/>
      <c r="F13" s="14" t="inlineStr"/>
      <c r="G13" s="14" t="inlineStr"/>
      <c r="H13" s="14" t="inlineStr"/>
      <c r="I13" s="45">
        <f>SUM(I3:I12)</f>
        <v/>
      </c>
      <c r="J13" s="45">
        <f>SUM(J3:J12)</f>
        <v/>
      </c>
      <c r="K13" s="45">
        <f>SUM(K3:K12)</f>
        <v/>
      </c>
      <c r="L13" s="14" t="inlineStr"/>
      <c r="M13" s="14" t="inlineStr"/>
      <c r="N13" s="14" t="inlineStr"/>
      <c r="O13" s="14" t="inlineStr"/>
    </row>
  </sheetData>
  <mergeCells count="1">
    <mergeCell ref="A1:O1"/>
  </mergeCells>
  <conditionalFormatting sqref="N3:N12">
    <cfRule type="expression" priority="1" dxfId="0" stopIfTrue="0">
      <formula>N3="OK"</formula>
    </cfRule>
    <cfRule type="expression" priority="2" dxfId="1" stopIfTrue="0">
      <formula>N3="Review"</formula>
    </cfRule>
  </conditionalFormatting>
  <dataValidations count="3">
    <dataValidation sqref="D3:D200" showErrorMessage="1" showInputMessage="1" allowBlank="1" errorTitle="Invalid Category" error="Please select a valid category from the list." type="list">
      <formula1>"Contribution,Income,Expense,Pension,Investment"</formula1>
    </dataValidation>
    <dataValidation sqref="G3:G200" showErrorMessage="1" showInputMessage="1" allowBlank="1" type="list">
      <formula1>"Cash Account,Pension Account,Investment Account,Reserve Account"</formula1>
    </dataValidation>
    <dataValidation sqref="N3:N200" showErrorMessage="1" showInputMessage="1" allowBlank="1" type="list">
      <formula1>"OK,Review"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50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8" customWidth="1" min="8" max="8"/>
  </cols>
  <sheetData>
    <row r="1" ht="36" customHeight="1">
      <c r="A1" s="1" t="inlineStr">
        <is>
          <t>SMSF FUND SUMMARY DASHBOARD — FINANCIAL YEAR 2026</t>
        </is>
      </c>
      <c r="B1" s="38" t="n"/>
      <c r="C1" s="38" t="n"/>
      <c r="D1" s="38" t="n"/>
      <c r="E1" s="38" t="n"/>
      <c r="F1" s="38" t="n"/>
      <c r="G1" s="38" t="n"/>
      <c r="H1" s="39" t="n"/>
    </row>
    <row r="2"/>
    <row r="3">
      <c r="A3" s="17" t="inlineStr">
        <is>
          <t>FUND FINANCIAL SUMMARY</t>
        </is>
      </c>
      <c r="B3" s="39" t="n"/>
      <c r="D3" s="17" t="inlineStr">
        <is>
          <t>BAS / GST SUMMARY</t>
        </is>
      </c>
      <c r="E3" s="39" t="n"/>
    </row>
    <row r="4" ht="22" customHeight="1">
      <c r="A4" s="18" t="inlineStr">
        <is>
          <t>Total Contributions ($)</t>
        </is>
      </c>
      <c r="B4" s="46">
        <f>SUMIF('SMSF Transactions'!D:D,"Contribution",'SMSF Transactions'!K:K)</f>
        <v/>
      </c>
      <c r="D4" s="20" t="inlineStr">
        <is>
          <t>GST Collected ($)</t>
        </is>
      </c>
      <c r="E4" s="47">
        <f>SUMIF('SMSF Transactions'!D:D,"GST Collected",'SMSF Transactions'!J:J)</f>
        <v/>
      </c>
    </row>
    <row r="5" ht="22" customHeight="1">
      <c r="A5" s="22" t="inlineStr">
        <is>
          <t>Total Pension Payments ($)</t>
        </is>
      </c>
      <c r="B5" s="48">
        <f>SUMIF('SMSF Transactions'!D:D,"Pension",'SMSF Transactions'!K:K)</f>
        <v/>
      </c>
      <c r="D5" s="22" t="inlineStr">
        <is>
          <t>GST Paid ($)</t>
        </is>
      </c>
      <c r="E5" s="48">
        <f>SUMIF('SMSF Transactions'!D:D,"Expense",'SMSF Transactions'!J:J)</f>
        <v/>
      </c>
    </row>
    <row r="6" ht="22" customHeight="1">
      <c r="A6" s="18" t="inlineStr">
        <is>
          <t>Total Income ($)</t>
        </is>
      </c>
      <c r="B6" s="46">
        <f>SUMIF('SMSF Transactions'!D:D,"Income",'SMSF Transactions'!K:K)</f>
        <v/>
      </c>
      <c r="D6" s="20" t="inlineStr">
        <is>
          <t>Estimated BAS Net GST ($)</t>
        </is>
      </c>
      <c r="E6" s="47">
        <f>IFERROR(D4-D5,0)</f>
        <v/>
      </c>
    </row>
    <row r="7" ht="22" customHeight="1">
      <c r="A7" s="22" t="inlineStr">
        <is>
          <t>Total Expenses ($)</t>
        </is>
      </c>
      <c r="B7" s="48">
        <f>SUMIF('SMSF Transactions'!D:D,"Expense",'SMSF Transactions'!K:K)</f>
        <v/>
      </c>
      <c r="D7" s="22" t="inlineStr">
        <is>
          <t>Count of Review Flags</t>
        </is>
      </c>
      <c r="E7" s="24">
        <f>COUNTIF('SMSF Transactions'!N:N,"Review")</f>
        <v/>
      </c>
    </row>
    <row r="8" ht="22" customHeight="1">
      <c r="A8" s="18" t="inlineStr">
        <is>
          <t>Net Cash Flow ($)</t>
        </is>
      </c>
      <c r="B8" s="46">
        <f>SUMIF('SMSF Transactions'!D:D,"Contribution",'SMSF Transactions'!K:K)+SUMIF('SMSF Transactions'!D:D,"Income",'SMSF Transactions'!K:K)-SUMIF('SMSF Transactions'!D:D,"Expense",'SMSF Transactions'!K:K)-SUMIF('SMSF Transactions'!D:D,"Pension",'SMSF Transactions'!K:K)</f>
        <v/>
      </c>
      <c r="D8" s="20" t="inlineStr">
        <is>
          <t>Total GST Component ($)</t>
        </is>
      </c>
      <c r="E8" s="47">
        <f>SUM('SMSF Transactions'!J3:J12)</f>
        <v/>
      </c>
    </row>
    <row r="9" ht="22" customHeight="1">
      <c r="A9" s="22" t="inlineStr">
        <is>
          <t>Number of Transactions</t>
        </is>
      </c>
      <c r="B9" s="24">
        <f>COUNTA('SMSF Transactions'!A3:A200)-COUNTIF('SMSF Transactions'!A3:A200,"")</f>
        <v/>
      </c>
    </row>
    <row r="10" ht="22" customHeight="1">
      <c r="A10" s="18" t="inlineStr">
        <is>
          <t>Average Transaction Value ($)</t>
        </is>
      </c>
      <c r="B10" s="46">
        <f>IFERROR(AVERAGE('SMSF Transactions'!K3:K12),0)</f>
        <v/>
      </c>
    </row>
    <row r="11"/>
    <row r="12" ht="18" customHeight="1"/>
    <row r="13" ht="26" customHeight="1">
      <c r="A13" s="17" t="inlineStr">
        <is>
          <t>MONTHLY ACTIVITY SUMMARY — JULY 2026 TO JUNE 2027</t>
        </is>
      </c>
      <c r="B13" s="38" t="n"/>
      <c r="C13" s="38" t="n"/>
      <c r="D13" s="38" t="n"/>
      <c r="E13" s="38" t="n"/>
      <c r="F13" s="38" t="n"/>
      <c r="G13" s="38" t="n"/>
      <c r="H13" s="39" t="n"/>
    </row>
    <row r="14" ht="28" customHeight="1">
      <c r="A14" s="17" t="inlineStr">
        <is>
          <t>Month</t>
        </is>
      </c>
      <c r="B14" s="17" t="inlineStr">
        <is>
          <t>Contributions ($)</t>
        </is>
      </c>
      <c r="C14" s="17" t="inlineStr">
        <is>
          <t>Income ($)</t>
        </is>
      </c>
      <c r="D14" s="17" t="inlineStr">
        <is>
          <t>Pension ($)</t>
        </is>
      </c>
      <c r="E14" s="17" t="inlineStr">
        <is>
          <t>Expenses ($)</t>
        </is>
      </c>
      <c r="F14" s="17" t="inlineStr">
        <is>
          <t>Net Flow ($)</t>
        </is>
      </c>
      <c r="G14" s="17" t="inlineStr">
        <is>
          <t>Transactions</t>
        </is>
      </c>
    </row>
    <row r="15" ht="19" customHeight="1">
      <c r="A15" s="25" t="inlineStr">
        <is>
          <t>Jul-26</t>
        </is>
      </c>
      <c r="B15" s="42">
        <f>SUMPRODUCT((MONTH('SMSF Transactions'!A3:A12)=7)*(YEAR('SMSF Transactions'!A3:A12)=2026)*('SMSF Transactions'!D3:D12="Contribution")*('SMSF Transactions'!K3:K12))</f>
        <v/>
      </c>
      <c r="C15" s="42">
        <f>SUMPRODUCT((MONTH('SMSF Transactions'!A3:A12)=7)*(YEAR('SMSF Transactions'!A3:A12)=2026)*('SMSF Transactions'!D3:D12="Income")*('SMSF Transactions'!K3:K12))</f>
        <v/>
      </c>
      <c r="D15" s="42">
        <f>SUMPRODUCT((MONTH('SMSF Transactions'!A3:A12)=7)*(YEAR('SMSF Transactions'!A3:A12)=2026)*('SMSF Transactions'!D3:D12="Pension")*('SMSF Transactions'!K3:K12))</f>
        <v/>
      </c>
      <c r="E15" s="42">
        <f>SUMPRODUCT((MONTH('SMSF Transactions'!A3:A12)=7)*(YEAR('SMSF Transactions'!A3:A12)=2026)*('SMSF Transactions'!D3:D12="Expense")*('SMSF Transactions'!K3:K12))</f>
        <v/>
      </c>
      <c r="F15" s="42">
        <f>B15+C15-D15-E15</f>
        <v/>
      </c>
      <c r="G15" s="26">
        <f>SUMPRODUCT((MONTH('SMSF Transactions'!A3:A12)=7)*(YEAR('SMSF Transactions'!A3:A12)=2026)*1)</f>
        <v/>
      </c>
    </row>
    <row r="16" ht="19" customHeight="1">
      <c r="A16" s="27" t="inlineStr">
        <is>
          <t>Aug-26</t>
        </is>
      </c>
      <c r="B16" s="44">
        <f>SUMPRODUCT((MONTH('SMSF Transactions'!A3:A12)=8)*(YEAR('SMSF Transactions'!A3:A12)=2026)*('SMSF Transactions'!D3:D12="Contribution")*('SMSF Transactions'!K3:K12))</f>
        <v/>
      </c>
      <c r="C16" s="44">
        <f>SUMPRODUCT((MONTH('SMSF Transactions'!A3:A12)=8)*(YEAR('SMSF Transactions'!A3:A12)=2026)*('SMSF Transactions'!D3:D12="Income")*('SMSF Transactions'!K3:K12))</f>
        <v/>
      </c>
      <c r="D16" s="44">
        <f>SUMPRODUCT((MONTH('SMSF Transactions'!A3:A12)=8)*(YEAR('SMSF Transactions'!A3:A12)=2026)*('SMSF Transactions'!D3:D12="Pension")*('SMSF Transactions'!K3:K12))</f>
        <v/>
      </c>
      <c r="E16" s="44">
        <f>SUMPRODUCT((MONTH('SMSF Transactions'!A3:A12)=8)*(YEAR('SMSF Transactions'!A3:A12)=2026)*('SMSF Transactions'!D3:D12="Expense")*('SMSF Transactions'!K3:K12))</f>
        <v/>
      </c>
      <c r="F16" s="44">
        <f>B16+C16-D16-E16</f>
        <v/>
      </c>
      <c r="G16" s="28">
        <f>SUMPRODUCT((MONTH('SMSF Transactions'!A3:A12)=8)*(YEAR('SMSF Transactions'!A3:A12)=2026)*1)</f>
        <v/>
      </c>
    </row>
    <row r="17" ht="19" customHeight="1">
      <c r="A17" s="25" t="inlineStr">
        <is>
          <t>Sep-26</t>
        </is>
      </c>
      <c r="B17" s="42">
        <f>SUMPRODUCT((MONTH('SMSF Transactions'!A3:A12)=9)*(YEAR('SMSF Transactions'!A3:A12)=2026)*('SMSF Transactions'!D3:D12="Contribution")*('SMSF Transactions'!K3:K12))</f>
        <v/>
      </c>
      <c r="C17" s="42">
        <f>SUMPRODUCT((MONTH('SMSF Transactions'!A3:A12)=9)*(YEAR('SMSF Transactions'!A3:A12)=2026)*('SMSF Transactions'!D3:D12="Income")*('SMSF Transactions'!K3:K12))</f>
        <v/>
      </c>
      <c r="D17" s="42">
        <f>SUMPRODUCT((MONTH('SMSF Transactions'!A3:A12)=9)*(YEAR('SMSF Transactions'!A3:A12)=2026)*('SMSF Transactions'!D3:D12="Pension")*('SMSF Transactions'!K3:K12))</f>
        <v/>
      </c>
      <c r="E17" s="42">
        <f>SUMPRODUCT((MONTH('SMSF Transactions'!A3:A12)=9)*(YEAR('SMSF Transactions'!A3:A12)=2026)*('SMSF Transactions'!D3:D12="Expense")*('SMSF Transactions'!K3:K12))</f>
        <v/>
      </c>
      <c r="F17" s="42">
        <f>B17+C17-D17-E17</f>
        <v/>
      </c>
      <c r="G17" s="26">
        <f>SUMPRODUCT((MONTH('SMSF Transactions'!A3:A12)=9)*(YEAR('SMSF Transactions'!A3:A12)=2026)*1)</f>
        <v/>
      </c>
    </row>
    <row r="18" ht="19" customHeight="1">
      <c r="A18" s="27" t="inlineStr">
        <is>
          <t>Oct-26</t>
        </is>
      </c>
      <c r="B18" s="44">
        <f>SUMPRODUCT((MONTH('SMSF Transactions'!A3:A12)=10)*(YEAR('SMSF Transactions'!A3:A12)=2026)*('SMSF Transactions'!D3:D12="Contribution")*('SMSF Transactions'!K3:K12))</f>
        <v/>
      </c>
      <c r="C18" s="44">
        <f>SUMPRODUCT((MONTH('SMSF Transactions'!A3:A12)=10)*(YEAR('SMSF Transactions'!A3:A12)=2026)*('SMSF Transactions'!D3:D12="Income")*('SMSF Transactions'!K3:K12))</f>
        <v/>
      </c>
      <c r="D18" s="44">
        <f>SUMPRODUCT((MONTH('SMSF Transactions'!A3:A12)=10)*(YEAR('SMSF Transactions'!A3:A12)=2026)*('SMSF Transactions'!D3:D12="Pension")*('SMSF Transactions'!K3:K12))</f>
        <v/>
      </c>
      <c r="E18" s="44">
        <f>SUMPRODUCT((MONTH('SMSF Transactions'!A3:A12)=10)*(YEAR('SMSF Transactions'!A3:A12)=2026)*('SMSF Transactions'!D3:D12="Expense")*('SMSF Transactions'!K3:K12))</f>
        <v/>
      </c>
      <c r="F18" s="44">
        <f>B18+C18-D18-E18</f>
        <v/>
      </c>
      <c r="G18" s="28">
        <f>SUMPRODUCT((MONTH('SMSF Transactions'!A3:A12)=10)*(YEAR('SMSF Transactions'!A3:A12)=2026)*1)</f>
        <v/>
      </c>
    </row>
    <row r="19" ht="19" customHeight="1">
      <c r="A19" s="25" t="inlineStr">
        <is>
          <t>Nov-26</t>
        </is>
      </c>
      <c r="B19" s="42">
        <f>SUMPRODUCT((MONTH('SMSF Transactions'!A3:A12)=11)*(YEAR('SMSF Transactions'!A3:A12)=2026)*('SMSF Transactions'!D3:D12="Contribution")*('SMSF Transactions'!K3:K12))</f>
        <v/>
      </c>
      <c r="C19" s="42">
        <f>SUMPRODUCT((MONTH('SMSF Transactions'!A3:A12)=11)*(YEAR('SMSF Transactions'!A3:A12)=2026)*('SMSF Transactions'!D3:D12="Income")*('SMSF Transactions'!K3:K12))</f>
        <v/>
      </c>
      <c r="D19" s="42">
        <f>SUMPRODUCT((MONTH('SMSF Transactions'!A3:A12)=11)*(YEAR('SMSF Transactions'!A3:A12)=2026)*('SMSF Transactions'!D3:D12="Pension")*('SMSF Transactions'!K3:K12))</f>
        <v/>
      </c>
      <c r="E19" s="42">
        <f>SUMPRODUCT((MONTH('SMSF Transactions'!A3:A12)=11)*(YEAR('SMSF Transactions'!A3:A12)=2026)*('SMSF Transactions'!D3:D12="Expense")*('SMSF Transactions'!K3:K12))</f>
        <v/>
      </c>
      <c r="F19" s="42">
        <f>B19+C19-D19-E19</f>
        <v/>
      </c>
      <c r="G19" s="26">
        <f>SUMPRODUCT((MONTH('SMSF Transactions'!A3:A12)=11)*(YEAR('SMSF Transactions'!A3:A12)=2026)*1)</f>
        <v/>
      </c>
    </row>
    <row r="20" ht="19" customHeight="1">
      <c r="A20" s="27" t="inlineStr">
        <is>
          <t>Dec-26</t>
        </is>
      </c>
      <c r="B20" s="44">
        <f>SUMPRODUCT((MONTH('SMSF Transactions'!A3:A12)=12)*(YEAR('SMSF Transactions'!A3:A12)=2026)*('SMSF Transactions'!D3:D12="Contribution")*('SMSF Transactions'!K3:K12))</f>
        <v/>
      </c>
      <c r="C20" s="44">
        <f>SUMPRODUCT((MONTH('SMSF Transactions'!A3:A12)=12)*(YEAR('SMSF Transactions'!A3:A12)=2026)*('SMSF Transactions'!D3:D12="Income")*('SMSF Transactions'!K3:K12))</f>
        <v/>
      </c>
      <c r="D20" s="44">
        <f>SUMPRODUCT((MONTH('SMSF Transactions'!A3:A12)=12)*(YEAR('SMSF Transactions'!A3:A12)=2026)*('SMSF Transactions'!D3:D12="Pension")*('SMSF Transactions'!K3:K12))</f>
        <v/>
      </c>
      <c r="E20" s="44">
        <f>SUMPRODUCT((MONTH('SMSF Transactions'!A3:A12)=12)*(YEAR('SMSF Transactions'!A3:A12)=2026)*('SMSF Transactions'!D3:D12="Expense")*('SMSF Transactions'!K3:K12))</f>
        <v/>
      </c>
      <c r="F20" s="44">
        <f>B20+C20-D20-E20</f>
        <v/>
      </c>
      <c r="G20" s="28">
        <f>SUMPRODUCT((MONTH('SMSF Transactions'!A3:A12)=12)*(YEAR('SMSF Transactions'!A3:A12)=2026)*1)</f>
        <v/>
      </c>
    </row>
    <row r="21" ht="19" customHeight="1">
      <c r="A21" s="25" t="inlineStr">
        <is>
          <t>Jan-27</t>
        </is>
      </c>
      <c r="B21" s="42">
        <f>SUMPRODUCT((MONTH('SMSF Transactions'!A3:A12)=1)*(YEAR('SMSF Transactions'!A3:A12)=2027)*('SMSF Transactions'!D3:D12="Contribution")*('SMSF Transactions'!K3:K12))</f>
        <v/>
      </c>
      <c r="C21" s="42">
        <f>SUMPRODUCT((MONTH('SMSF Transactions'!A3:A12)=1)*(YEAR('SMSF Transactions'!A3:A12)=2027)*('SMSF Transactions'!D3:D12="Income")*('SMSF Transactions'!K3:K12))</f>
        <v/>
      </c>
      <c r="D21" s="42">
        <f>SUMPRODUCT((MONTH('SMSF Transactions'!A3:A12)=1)*(YEAR('SMSF Transactions'!A3:A12)=2027)*('SMSF Transactions'!D3:D12="Pension")*('SMSF Transactions'!K3:K12))</f>
        <v/>
      </c>
      <c r="E21" s="42">
        <f>SUMPRODUCT((MONTH('SMSF Transactions'!A3:A12)=1)*(YEAR('SMSF Transactions'!A3:A12)=2027)*('SMSF Transactions'!D3:D12="Expense")*('SMSF Transactions'!K3:K12))</f>
        <v/>
      </c>
      <c r="F21" s="42">
        <f>B21+C21-D21-E21</f>
        <v/>
      </c>
      <c r="G21" s="26">
        <f>SUMPRODUCT((MONTH('SMSF Transactions'!A3:A12)=1)*(YEAR('SMSF Transactions'!A3:A12)=2027)*1)</f>
        <v/>
      </c>
    </row>
    <row r="22" ht="19" customHeight="1">
      <c r="A22" s="27" t="inlineStr">
        <is>
          <t>Feb-27</t>
        </is>
      </c>
      <c r="B22" s="44">
        <f>SUMPRODUCT((MONTH('SMSF Transactions'!A3:A12)=2)*(YEAR('SMSF Transactions'!A3:A12)=2027)*('SMSF Transactions'!D3:D12="Contribution")*('SMSF Transactions'!K3:K12))</f>
        <v/>
      </c>
      <c r="C22" s="44">
        <f>SUMPRODUCT((MONTH('SMSF Transactions'!A3:A12)=2)*(YEAR('SMSF Transactions'!A3:A12)=2027)*('SMSF Transactions'!D3:D12="Income")*('SMSF Transactions'!K3:K12))</f>
        <v/>
      </c>
      <c r="D22" s="44">
        <f>SUMPRODUCT((MONTH('SMSF Transactions'!A3:A12)=2)*(YEAR('SMSF Transactions'!A3:A12)=2027)*('SMSF Transactions'!D3:D12="Pension")*('SMSF Transactions'!K3:K12))</f>
        <v/>
      </c>
      <c r="E22" s="44">
        <f>SUMPRODUCT((MONTH('SMSF Transactions'!A3:A12)=2)*(YEAR('SMSF Transactions'!A3:A12)=2027)*('SMSF Transactions'!D3:D12="Expense")*('SMSF Transactions'!K3:K12))</f>
        <v/>
      </c>
      <c r="F22" s="44">
        <f>B22+C22-D22-E22</f>
        <v/>
      </c>
      <c r="G22" s="28">
        <f>SUMPRODUCT((MONTH('SMSF Transactions'!A3:A12)=2)*(YEAR('SMSF Transactions'!A3:A12)=2027)*1)</f>
        <v/>
      </c>
    </row>
    <row r="23" ht="19" customHeight="1">
      <c r="A23" s="25" t="inlineStr">
        <is>
          <t>Mar-27</t>
        </is>
      </c>
      <c r="B23" s="42">
        <f>SUMPRODUCT((MONTH('SMSF Transactions'!A3:A12)=3)*(YEAR('SMSF Transactions'!A3:A12)=2027)*('SMSF Transactions'!D3:D12="Contribution")*('SMSF Transactions'!K3:K12))</f>
        <v/>
      </c>
      <c r="C23" s="42">
        <f>SUMPRODUCT((MONTH('SMSF Transactions'!A3:A12)=3)*(YEAR('SMSF Transactions'!A3:A12)=2027)*('SMSF Transactions'!D3:D12="Income")*('SMSF Transactions'!K3:K12))</f>
        <v/>
      </c>
      <c r="D23" s="42">
        <f>SUMPRODUCT((MONTH('SMSF Transactions'!A3:A12)=3)*(YEAR('SMSF Transactions'!A3:A12)=2027)*('SMSF Transactions'!D3:D12="Pension")*('SMSF Transactions'!K3:K12))</f>
        <v/>
      </c>
      <c r="E23" s="42">
        <f>SUMPRODUCT((MONTH('SMSF Transactions'!A3:A12)=3)*(YEAR('SMSF Transactions'!A3:A12)=2027)*('SMSF Transactions'!D3:D12="Expense")*('SMSF Transactions'!K3:K12))</f>
        <v/>
      </c>
      <c r="F23" s="42">
        <f>B23+C23-D23-E23</f>
        <v/>
      </c>
      <c r="G23" s="26">
        <f>SUMPRODUCT((MONTH('SMSF Transactions'!A3:A12)=3)*(YEAR('SMSF Transactions'!A3:A12)=2027)*1)</f>
        <v/>
      </c>
    </row>
    <row r="24" ht="19" customHeight="1">
      <c r="A24" s="27" t="inlineStr">
        <is>
          <t>Apr-27</t>
        </is>
      </c>
      <c r="B24" s="44">
        <f>SUMPRODUCT((MONTH('SMSF Transactions'!A3:A12)=4)*(YEAR('SMSF Transactions'!A3:A12)=2027)*('SMSF Transactions'!D3:D12="Contribution")*('SMSF Transactions'!K3:K12))</f>
        <v/>
      </c>
      <c r="C24" s="44">
        <f>SUMPRODUCT((MONTH('SMSF Transactions'!A3:A12)=4)*(YEAR('SMSF Transactions'!A3:A12)=2027)*('SMSF Transactions'!D3:D12="Income")*('SMSF Transactions'!K3:K12))</f>
        <v/>
      </c>
      <c r="D24" s="44">
        <f>SUMPRODUCT((MONTH('SMSF Transactions'!A3:A12)=4)*(YEAR('SMSF Transactions'!A3:A12)=2027)*('SMSF Transactions'!D3:D12="Pension")*('SMSF Transactions'!K3:K12))</f>
        <v/>
      </c>
      <c r="E24" s="44">
        <f>SUMPRODUCT((MONTH('SMSF Transactions'!A3:A12)=4)*(YEAR('SMSF Transactions'!A3:A12)=2027)*('SMSF Transactions'!D3:D12="Expense")*('SMSF Transactions'!K3:K12))</f>
        <v/>
      </c>
      <c r="F24" s="44">
        <f>B24+C24-D24-E24</f>
        <v/>
      </c>
      <c r="G24" s="28">
        <f>SUMPRODUCT((MONTH('SMSF Transactions'!A3:A12)=4)*(YEAR('SMSF Transactions'!A3:A12)=2027)*1)</f>
        <v/>
      </c>
    </row>
    <row r="25" ht="19" customHeight="1">
      <c r="A25" s="25" t="inlineStr">
        <is>
          <t>May-27</t>
        </is>
      </c>
      <c r="B25" s="42">
        <f>SUMPRODUCT((MONTH('SMSF Transactions'!A3:A12)=5)*(YEAR('SMSF Transactions'!A3:A12)=2027)*('SMSF Transactions'!D3:D12="Contribution")*('SMSF Transactions'!K3:K12))</f>
        <v/>
      </c>
      <c r="C25" s="42">
        <f>SUMPRODUCT((MONTH('SMSF Transactions'!A3:A12)=5)*(YEAR('SMSF Transactions'!A3:A12)=2027)*('SMSF Transactions'!D3:D12="Income")*('SMSF Transactions'!K3:K12))</f>
        <v/>
      </c>
      <c r="D25" s="42">
        <f>SUMPRODUCT((MONTH('SMSF Transactions'!A3:A12)=5)*(YEAR('SMSF Transactions'!A3:A12)=2027)*('SMSF Transactions'!D3:D12="Pension")*('SMSF Transactions'!K3:K12))</f>
        <v/>
      </c>
      <c r="E25" s="42">
        <f>SUMPRODUCT((MONTH('SMSF Transactions'!A3:A12)=5)*(YEAR('SMSF Transactions'!A3:A12)=2027)*('SMSF Transactions'!D3:D12="Expense")*('SMSF Transactions'!K3:K12))</f>
        <v/>
      </c>
      <c r="F25" s="42">
        <f>B25+C25-D25-E25</f>
        <v/>
      </c>
      <c r="G25" s="26">
        <f>SUMPRODUCT((MONTH('SMSF Transactions'!A3:A12)=5)*(YEAR('SMSF Transactions'!A3:A12)=2027)*1)</f>
        <v/>
      </c>
    </row>
    <row r="26" ht="19" customHeight="1">
      <c r="A26" s="27" t="inlineStr">
        <is>
          <t>Jun-27</t>
        </is>
      </c>
      <c r="B26" s="44">
        <f>SUMPRODUCT((MONTH('SMSF Transactions'!A3:A12)=6)*(YEAR('SMSF Transactions'!A3:A12)=2027)*('SMSF Transactions'!D3:D12="Contribution")*('SMSF Transactions'!K3:K12))</f>
        <v/>
      </c>
      <c r="C26" s="44">
        <f>SUMPRODUCT((MONTH('SMSF Transactions'!A3:A12)=6)*(YEAR('SMSF Transactions'!A3:A12)=2027)*('SMSF Transactions'!D3:D12="Income")*('SMSF Transactions'!K3:K12))</f>
        <v/>
      </c>
      <c r="D26" s="44">
        <f>SUMPRODUCT((MONTH('SMSF Transactions'!A3:A12)=6)*(YEAR('SMSF Transactions'!A3:A12)=2027)*('SMSF Transactions'!D3:D12="Pension")*('SMSF Transactions'!K3:K12))</f>
        <v/>
      </c>
      <c r="E26" s="44">
        <f>SUMPRODUCT((MONTH('SMSF Transactions'!A3:A12)=6)*(YEAR('SMSF Transactions'!A3:A12)=2027)*('SMSF Transactions'!D3:D12="Expense")*('SMSF Transactions'!K3:K12))</f>
        <v/>
      </c>
      <c r="F26" s="44">
        <f>B26+C26-D26-E26</f>
        <v/>
      </c>
      <c r="G26" s="28">
        <f>SUMPRODUCT((MONTH('SMSF Transactions'!A3:A12)=6)*(YEAR('SMSF Transactions'!A3:A12)=2027)*1)</f>
        <v/>
      </c>
    </row>
    <row r="27">
      <c r="A27" s="15" t="inlineStr">
        <is>
          <t>TOTAL</t>
        </is>
      </c>
      <c r="B27" s="45">
        <f>SUM(B15:B26)</f>
        <v/>
      </c>
      <c r="C27" s="45">
        <f>SUM(C15:C26)</f>
        <v/>
      </c>
      <c r="D27" s="45">
        <f>SUM(D15:D26)</f>
        <v/>
      </c>
      <c r="E27" s="45">
        <f>SUM(E15:E26)</f>
        <v/>
      </c>
      <c r="F27" s="45">
        <f>SUM(F15:F26)</f>
        <v/>
      </c>
      <c r="G27" s="29">
        <f>SUM(G15:G26)</f>
        <v/>
      </c>
    </row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>
      <c r="A46" s="30" t="inlineStr">
        <is>
          <t>Expense Category</t>
        </is>
      </c>
      <c r="B46" s="30" t="inlineStr">
        <is>
          <t>Amount ($)</t>
        </is>
      </c>
    </row>
    <row r="47">
      <c r="A47" t="inlineStr">
        <is>
          <t>Accounting &amp; Audit</t>
        </is>
      </c>
      <c r="B47" t="n">
        <v>1650</v>
      </c>
    </row>
    <row r="48">
      <c r="A48" t="inlineStr">
        <is>
          <t>ATO Levy</t>
        </is>
      </c>
      <c r="B48" t="n">
        <v>259</v>
      </c>
    </row>
    <row r="49">
      <c r="A49" t="inlineStr">
        <is>
          <t>Brokerage</t>
        </is>
      </c>
      <c r="B49" t="n">
        <v>88</v>
      </c>
    </row>
    <row r="50">
      <c r="A50" t="inlineStr">
        <is>
          <t>Insurance</t>
        </is>
      </c>
      <c r="B50" t="n">
        <v>1240</v>
      </c>
    </row>
  </sheetData>
  <mergeCells count="4">
    <mergeCell ref="A1:H1"/>
    <mergeCell ref="A3:B3"/>
    <mergeCell ref="D3:E3"/>
    <mergeCell ref="A13:H1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pane xSplit="1" ySplit="1" topLeftCell="B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" customWidth="1" min="1" max="1"/>
    <col width="28" customWidth="1" min="2" max="2"/>
    <col width="68" customWidth="1" min="3" max="3"/>
  </cols>
  <sheetData>
    <row r="1" ht="40" customHeight="1">
      <c r="A1" s="1" t="inlineStr">
        <is>
          <t>SMSF SPREADSHEET — USER GUIDE &amp; COMPLIANCE NOTES</t>
        </is>
      </c>
      <c r="B1" s="38" t="n"/>
      <c r="C1" s="39" t="n"/>
    </row>
    <row r="2" ht="26" customHeight="1">
      <c r="A2" s="31" t="inlineStr">
        <is>
          <t>OVERVIEW</t>
        </is>
      </c>
      <c r="B2" s="38" t="n"/>
      <c r="C2" s="39" t="n"/>
    </row>
    <row r="3" ht="38" customHeight="1">
      <c r="A3" s="32" t="inlineStr"/>
      <c r="B3" s="33" t="inlineStr">
        <is>
          <t>Purpose</t>
        </is>
      </c>
      <c r="C3" s="34" t="inlineStr">
        <is>
          <t>This workbook assists Self Managed Super Fund (SMSF) trustees in recording, categorising, and summarising fund transactions in compliance with the Australian Taxation Office (ATO) requirements.</t>
        </is>
      </c>
    </row>
    <row r="4" ht="38" customHeight="1">
      <c r="A4" s="35" t="inlineStr"/>
      <c r="B4" s="36" t="inlineStr">
        <is>
          <t>Disclaimer</t>
        </is>
      </c>
      <c r="C4" s="37" t="inlineStr">
        <is>
          <t>This spreadsheet is a record-keeping tool only. It does not constitute financial or legal advice. Always consult a registered SMSF auditor or tax agent for formal compliance obligations.</t>
        </is>
      </c>
    </row>
    <row r="5"/>
    <row r="6" ht="26" customHeight="1">
      <c r="A6" s="31" t="inlineStr">
        <is>
          <t>SHEET 1 — SMSF TRANSACTIONS</t>
        </is>
      </c>
      <c r="B6" s="38" t="n"/>
      <c r="C6" s="39" t="n"/>
    </row>
    <row r="7" ht="38" customHeight="1">
      <c r="A7" s="32" t="inlineStr"/>
      <c r="B7" s="33" t="inlineStr">
        <is>
          <t>How to Use</t>
        </is>
      </c>
      <c r="C7" s="34" t="inlineStr">
        <is>
          <t>Enter each fund transaction in a new row. Yellow-shaded cells are editable input fields. Green or red shading in the BAS/Compliance Flag column indicates the compliance status.</t>
        </is>
      </c>
    </row>
    <row r="8" ht="38" customHeight="1">
      <c r="A8" s="35" t="inlineStr"/>
      <c r="B8" s="36" t="inlineStr">
        <is>
          <t>Transaction Date</t>
        </is>
      </c>
      <c r="C8" s="37" t="inlineStr">
        <is>
          <t>Enter the date the transaction was processed in DD/MM/YYYY format (Australian standard).</t>
        </is>
      </c>
    </row>
    <row r="9" ht="38" customHeight="1">
      <c r="A9" s="32" t="inlineStr"/>
      <c r="B9" s="33" t="inlineStr">
        <is>
          <t>Financial Year</t>
        </is>
      </c>
      <c r="C9" s="34" t="inlineStr">
        <is>
          <t>Automatically calculated. The Australian financial year runs from 1 July to 30 June (e.g., 2026 = FY2025-2026).</t>
        </is>
      </c>
    </row>
    <row r="10" ht="38" customHeight="1">
      <c r="A10" s="35" t="inlineStr"/>
      <c r="B10" s="36" t="inlineStr">
        <is>
          <t>Category</t>
        </is>
      </c>
      <c r="C10" s="37" t="inlineStr">
        <is>
          <t>Select from the dropdown: Contribution, Income, Expense, Pension, or Investment. This drives all summary calculations.</t>
        </is>
      </c>
    </row>
    <row r="11" ht="38" customHeight="1">
      <c r="A11" s="32" t="inlineStr"/>
      <c r="B11" s="33" t="inlineStr">
        <is>
          <t>Gross / GST / Net</t>
        </is>
      </c>
      <c r="C11" s="34" t="inlineStr">
        <is>
          <t>Enter the gross amount in column I. Enter the GST component (if applicable) in column J. Net Amount in column K is automatically calculated as Gross minus GST.</t>
        </is>
      </c>
    </row>
    <row r="12" ht="38" customHeight="1">
      <c r="A12" s="35" t="inlineStr"/>
      <c r="B12" s="36" t="inlineStr">
        <is>
          <t>Compliance Flag</t>
        </is>
      </c>
      <c r="C12" s="37" t="inlineStr">
        <is>
          <t>Select OK or Review from the dropdown. Rows flagged as 'Review' are highlighted in red and counted in the Summary dashboard for follow-up.</t>
        </is>
      </c>
    </row>
    <row r="13" ht="38" customHeight="1">
      <c r="A13" s="32" t="inlineStr"/>
      <c r="B13" s="33" t="inlineStr">
        <is>
          <t>Contribution Type</t>
        </is>
      </c>
      <c r="C13" s="34" t="inlineStr">
        <is>
          <t>Use 'Concessional' for pre-tax contributions (employer SG, salary sacrifice) and 'Non-Concessional' for after-tax personal contributions.</t>
        </is>
      </c>
    </row>
    <row r="14"/>
    <row r="15" ht="26" customHeight="1">
      <c r="A15" s="31" t="inlineStr">
        <is>
          <t>SHEET 2 — SMSF SUMMARY DASHBOARD</t>
        </is>
      </c>
      <c r="B15" s="38" t="n"/>
      <c r="C15" s="39" t="n"/>
    </row>
    <row r="16" ht="38" customHeight="1">
      <c r="A16" s="32" t="inlineStr"/>
      <c r="B16" s="33" t="inlineStr">
        <is>
          <t>Fund Summary</t>
        </is>
      </c>
      <c r="C16" s="34" t="inlineStr">
        <is>
          <t>Automatically calculates total contributions, pension payments, income, expenses, and net cash flow from the Transactions sheet using SUMIF formulas.</t>
        </is>
      </c>
    </row>
    <row r="17" ht="38" customHeight="1">
      <c r="A17" s="35" t="inlineStr"/>
      <c r="B17" s="36" t="inlineStr">
        <is>
          <t>BAS / GST Summary</t>
        </is>
      </c>
      <c r="C17" s="37" t="inlineStr">
        <is>
          <t>Displays GST collected, GST paid (from expense GST components), and estimated BAS net GST amount. Review with your BAS agent before lodging.</t>
        </is>
      </c>
    </row>
    <row r="18" ht="38" customHeight="1">
      <c r="A18" s="32" t="inlineStr"/>
      <c r="B18" s="33" t="inlineStr">
        <is>
          <t>Monthly Table</t>
        </is>
      </c>
      <c r="C18" s="34" t="inlineStr">
        <is>
          <t>Summarises fund activity by month across the financial year. Useful for spotting irregular activity or cash-flow planning.</t>
        </is>
      </c>
    </row>
    <row r="19" ht="38" customHeight="1">
      <c r="A19" s="35" t="inlineStr"/>
      <c r="B19" s="36" t="inlineStr">
        <is>
          <t>Charts</t>
        </is>
      </c>
      <c r="C19" s="37" t="inlineStr">
        <is>
          <t>The clustered column chart shows monthly contributions vs expenses. The pie chart shows the breakdown of expenses by category.</t>
        </is>
      </c>
    </row>
    <row r="20"/>
    <row r="21" ht="26" customHeight="1">
      <c r="A21" s="31" t="inlineStr">
        <is>
          <t>ATO COMPLIANCE &amp; SMSF RULES</t>
        </is>
      </c>
      <c r="B21" s="38" t="n"/>
      <c r="C21" s="39" t="n"/>
    </row>
    <row r="22" ht="38" customHeight="1">
      <c r="A22" s="32" t="inlineStr"/>
      <c r="B22" s="33" t="inlineStr">
        <is>
          <t>Financial Year</t>
        </is>
      </c>
      <c r="C22" s="34" t="inlineStr">
        <is>
          <t>The Australian superannuation financial year runs from 1 July to 30 June. All contributions, pensions, and expenses must be recorded within the correct financial year.</t>
        </is>
      </c>
    </row>
    <row r="23" ht="38" customHeight="1">
      <c r="A23" s="35" t="inlineStr"/>
      <c r="B23" s="36" t="inlineStr">
        <is>
          <t>GST Rate</t>
        </is>
      </c>
      <c r="C23" s="37" t="inlineStr">
        <is>
          <t>The standard Australian GST rate is 10%. Most SMSF income (dividends, rent, interest) is input-taxed and not subject to GST. Expenses such as accounting fees may include GST.</t>
        </is>
      </c>
    </row>
    <row r="24" ht="38" customHeight="1">
      <c r="A24" s="32" t="inlineStr"/>
      <c r="B24" s="33" t="inlineStr">
        <is>
          <t>Super Guarantee (SG)</t>
        </is>
      </c>
      <c r="C24" s="34" t="inlineStr">
        <is>
          <t>As of 1 July 2026, the compulsory Super Guarantee (SG) rate is 11.5% of an employee's ordinary time earnings (OTE). Employer contributions must be paid at least quarterly.</t>
        </is>
      </c>
    </row>
    <row r="25" ht="38" customHeight="1">
      <c r="A25" s="35" t="inlineStr"/>
      <c r="B25" s="36" t="inlineStr">
        <is>
          <t>Concessional Cap</t>
        </is>
      </c>
      <c r="C25" s="37" t="inlineStr">
        <is>
          <t>The annual concessional contributions cap for FY2026 is $30,000. Contributions exceeding this cap may attract additional tax. Consult your tax agent.</t>
        </is>
      </c>
    </row>
    <row r="26" ht="38" customHeight="1">
      <c r="A26" s="32" t="inlineStr"/>
      <c r="B26" s="33" t="inlineStr">
        <is>
          <t>Non-Concessional Cap</t>
        </is>
      </c>
      <c r="C26" s="34" t="inlineStr">
        <is>
          <t>The annual non-concessional contributions cap is $120,000. Members under 75 may be eligible for the bring-forward rule (up to $360,000 over 3 years).</t>
        </is>
      </c>
    </row>
    <row r="27" ht="38" customHeight="1">
      <c r="A27" s="35" t="inlineStr"/>
      <c r="B27" s="36" t="inlineStr">
        <is>
          <t>Pension Phase</t>
        </is>
      </c>
      <c r="C27" s="37" t="inlineStr">
        <is>
          <t>Members in pension phase generally pay 0% tax on earnings supporting pension liabilities. Account-based pension minimum drawdowns apply and vary by age.</t>
        </is>
      </c>
    </row>
    <row r="28" ht="38" customHeight="1">
      <c r="A28" s="32" t="inlineStr"/>
      <c r="B28" s="33" t="inlineStr">
        <is>
          <t>Accumulation Phase</t>
        </is>
      </c>
      <c r="C28" s="34" t="inlineStr">
        <is>
          <t>Members in accumulation phase pay 15% tax on concessional contributions and investment earnings. Capital gains tax (CGT) discount of one-third applies for assets held 12+ months.</t>
        </is>
      </c>
    </row>
    <row r="29" ht="38" customHeight="1">
      <c r="A29" s="35" t="inlineStr"/>
      <c r="B29" s="36" t="inlineStr">
        <is>
          <t>Record Keeping</t>
        </is>
      </c>
      <c r="C29" s="37" t="inlineStr">
        <is>
          <t>The ATO requires SMSF trustees to keep all financial records for a minimum of 5 years. This includes bank statements, dividend statements, and investment records.</t>
        </is>
      </c>
    </row>
    <row r="30" ht="38" customHeight="1">
      <c r="A30" s="32" t="inlineStr"/>
      <c r="B30" s="33" t="inlineStr">
        <is>
          <t>Annual Audit</t>
        </is>
      </c>
      <c r="C30" s="34" t="inlineStr">
        <is>
          <t>All SMSFs must have their financial statements and compliance position audited annually by an approved SMSF auditor before lodging the SMSF Annual Return.</t>
        </is>
      </c>
    </row>
    <row r="31" ht="38" customHeight="1">
      <c r="A31" s="35" t="inlineStr"/>
      <c r="B31" s="36" t="inlineStr">
        <is>
          <t>Reconciliation</t>
        </is>
      </c>
      <c r="C31" s="37" t="inlineStr">
        <is>
          <t>Regularly reconcile this spreadsheet against bank statements, broker CHESS holdings, and term deposit confirmations. Provide reconciled records to your SMSF auditor.</t>
        </is>
      </c>
    </row>
    <row r="32" ht="38" customHeight="1">
      <c r="A32" s="32" t="inlineStr"/>
      <c r="B32" s="33" t="inlineStr">
        <is>
          <t>ABN &amp; TFN</t>
        </is>
      </c>
      <c r="C32" s="34" t="inlineStr">
        <is>
          <t>Your SMSF must have its own ABN and TFN. These should be quoted on all bank accounts, investment platforms, and when receiving employer contributions.</t>
        </is>
      </c>
    </row>
    <row r="33"/>
    <row r="34" ht="26" customHeight="1">
      <c r="A34" s="2" t="inlineStr">
        <is>
          <t>COLOUR CODING GUIDE</t>
        </is>
      </c>
      <c r="B34" s="38" t="n"/>
      <c r="C34" s="39" t="n"/>
    </row>
    <row r="35" ht="38" customHeight="1">
      <c r="A35" s="35" t="inlineStr"/>
      <c r="B35" s="36" t="inlineStr">
        <is>
          <t>Dark Header (#1E293B)</t>
        </is>
      </c>
      <c r="C35" s="37" t="inlineStr">
        <is>
          <t>Column header rows in the Transactions sheet — identifies data structure.</t>
        </is>
      </c>
    </row>
    <row r="36" ht="38" customHeight="1">
      <c r="A36" s="32" t="inlineStr"/>
      <c r="B36" s="33" t="inlineStr">
        <is>
          <t>Teal Header (#0F766E)</t>
        </is>
      </c>
      <c r="C36" s="34" t="inlineStr">
        <is>
          <t>Section headers in the Summary sheet — fund financial totals.</t>
        </is>
      </c>
    </row>
    <row r="37" ht="38" customHeight="1">
      <c r="A37" s="35" t="inlineStr"/>
      <c r="B37" s="36" t="inlineStr">
        <is>
          <t>Pale Yellow (#FFFBEB)</t>
        </is>
      </c>
      <c r="C37" s="37" t="inlineStr">
        <is>
          <t>Editable input cells — these are the fields you should update.</t>
        </is>
      </c>
    </row>
    <row r="38" ht="38" customHeight="1">
      <c r="A38" s="32" t="inlineStr"/>
      <c r="B38" s="33" t="inlineStr">
        <is>
          <t>Light Blue (#F8FAFC)</t>
        </is>
      </c>
      <c r="C38" s="34" t="inlineStr">
        <is>
          <t>Alternating row shading — improves readability of data rows.</t>
        </is>
      </c>
    </row>
    <row r="39" ht="38" customHeight="1">
      <c r="A39" s="35" t="inlineStr"/>
      <c r="B39" s="36" t="inlineStr">
        <is>
          <t>Green Flag (#16A34A)</t>
        </is>
      </c>
      <c r="C39" s="37" t="inlineStr">
        <is>
          <t>BAS/Compliance Flag = OK — transaction appears compliant.</t>
        </is>
      </c>
    </row>
    <row r="40" ht="38" customHeight="1">
      <c r="A40" s="32" t="inlineStr"/>
      <c r="B40" s="33" t="inlineStr">
        <is>
          <t>Red Flag (#DC2626)</t>
        </is>
      </c>
      <c r="C40" s="34" t="inlineStr">
        <is>
          <t>BAS/Compliance Flag = Review — transaction requires review or is above $10,000.</t>
        </is>
      </c>
    </row>
  </sheetData>
  <mergeCells count="6">
    <mergeCell ref="A1:C1"/>
    <mergeCell ref="A2:C2"/>
    <mergeCell ref="A6:C6"/>
    <mergeCell ref="A15:C15"/>
    <mergeCell ref="A21:C21"/>
    <mergeCell ref="A34:C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2026-06-18T12:10:14Z</dcterms:created>
  <dcterms:modified xmlns:dcterms="http://purl.org/dc/terms/" xmlns:xsi="http://www.w3.org/2001/XMLSchema-instance" xsi:type="dcterms:W3CDTF">2026-06-18T12:10:14Z</dcterms:modified>
</cp:coreProperties>
</file>