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ibutions Log"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14">
    <font>
      <name val="Calibri"/>
      <family val="2"/>
      <color theme="1"/>
      <sz val="11"/>
      <scheme val="minor"/>
    </font>
    <font>
      <name val="Calibri"/>
      <b val="1"/>
      <color rgb="00FFFFFF"/>
      <sz val="11"/>
    </font>
    <font>
      <name val="Calibri"/>
      <sz val="10"/>
    </font>
    <font>
      <name val="Calibri"/>
      <b val="1"/>
      <sz val="10"/>
    </font>
    <font>
      <name val="Calibri"/>
      <b val="1"/>
      <color rgb="00FFFFFF"/>
      <sz val="14"/>
    </font>
    <font>
      <name val="Calibri"/>
      <color rgb="00FFFFFF"/>
      <sz val="10"/>
    </font>
    <font>
      <name val="Calibri"/>
      <b val="1"/>
      <color rgb="00006A4E"/>
      <sz val="10"/>
    </font>
    <font>
      <name val="Calibri"/>
      <b val="1"/>
      <color rgb="0016A34A"/>
      <sz val="11"/>
    </font>
    <font>
      <name val="Calibri"/>
      <b val="1"/>
      <color rgb="00DC2626"/>
      <sz val="11"/>
    </font>
    <font>
      <name val="Calibri"/>
      <b val="1"/>
      <color rgb="00166534"/>
      <sz val="10"/>
    </font>
    <font>
      <name val="Calibri"/>
      <b val="1"/>
      <color rgb="00DC2626"/>
      <sz val="10"/>
    </font>
    <font>
      <name val="Calibri"/>
      <b val="1"/>
      <color rgb="00B45309"/>
      <sz val="10"/>
    </font>
    <font>
      <name val="Calibri"/>
      <b val="1"/>
      <color rgb="00FFFFFF"/>
      <sz val="10"/>
    </font>
    <font>
      <name val="Calibri"/>
      <b val="1"/>
      <color rgb="00FFFFFF"/>
      <sz val="13"/>
    </font>
  </fonts>
  <fills count="10">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E2E8F0"/>
      </patternFill>
    </fill>
    <fill>
      <patternFill patternType="solid">
        <fgColor rgb="000F766E"/>
      </patternFill>
    </fill>
    <fill>
      <patternFill patternType="solid">
        <fgColor rgb="00006A4E"/>
      </patternFill>
    </fill>
    <fill>
      <patternFill patternType="solid">
        <fgColor rgb="00F0FDFA"/>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49">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xf>
    <xf numFmtId="0" fontId="2" fillId="4" borderId="1" applyAlignment="1" pivotButton="0" quotePrefix="0" xfId="0">
      <alignment horizontal="left" vertical="center"/>
    </xf>
    <xf numFmtId="164" fontId="2" fillId="4" borderId="1" applyAlignment="1" pivotButton="0" quotePrefix="0" xfId="0">
      <alignment horizontal="left" vertical="center"/>
    </xf>
    <xf numFmtId="165" fontId="2" fillId="4" borderId="1" applyAlignment="1" pivotButton="0" quotePrefix="0" xfId="0">
      <alignment horizontal="left" vertical="center"/>
    </xf>
    <xf numFmtId="10" fontId="2" fillId="4" borderId="1" applyAlignment="1" pivotButton="0" quotePrefix="0" xfId="0">
      <alignment horizontal="center" vertical="center"/>
    </xf>
    <xf numFmtId="165" fontId="2" fillId="3" borderId="1" applyAlignment="1" pivotButton="0" quotePrefix="0" xfId="0">
      <alignment horizontal="right" vertical="center"/>
    </xf>
    <xf numFmtId="165" fontId="2" fillId="4" borderId="1" applyAlignment="1" pivotButton="0" quotePrefix="0" xfId="0">
      <alignment horizontal="right" vertical="center"/>
    </xf>
    <xf numFmtId="0" fontId="2" fillId="5" borderId="1" applyAlignment="1" pivotButton="0" quotePrefix="0" xfId="0">
      <alignment horizontal="center" vertical="center"/>
    </xf>
    <xf numFmtId="165" fontId="2" fillId="5" borderId="1" applyAlignment="1" pivotButton="0" quotePrefix="0" xfId="0">
      <alignment horizontal="right" vertical="center"/>
    </xf>
    <xf numFmtId="0" fontId="3" fillId="6" borderId="1" applyAlignment="1" pivotButton="0" quotePrefix="0" xfId="0">
      <alignment horizontal="center" vertical="center"/>
    </xf>
    <xf numFmtId="165" fontId="3" fillId="6" borderId="1" applyAlignment="1" pivotButton="0" quotePrefix="0" xfId="0">
      <alignment horizontal="right" vertical="center"/>
    </xf>
    <xf numFmtId="0" fontId="3" fillId="0" borderId="0" applyAlignment="1" pivotButton="0" quotePrefix="0" xfId="0">
      <alignment horizontal="left" vertical="center"/>
    </xf>
    <xf numFmtId="0" fontId="3" fillId="0" borderId="0" pivotButton="0" quotePrefix="0" xfId="0"/>
    <xf numFmtId="0" fontId="4" fillId="2" borderId="0" applyAlignment="1" pivotButton="0" quotePrefix="0" xfId="0">
      <alignment horizontal="center" vertical="center"/>
    </xf>
    <xf numFmtId="0" fontId="5" fillId="7" borderId="0" applyAlignment="1" pivotButton="0" quotePrefix="0" xfId="0">
      <alignment horizontal="center" vertical="center"/>
    </xf>
    <xf numFmtId="0" fontId="1" fillId="8" borderId="0" applyAlignment="1" pivotButton="0" quotePrefix="0" xfId="0">
      <alignment horizontal="center" vertical="center"/>
    </xf>
    <xf numFmtId="0" fontId="6" fillId="9" borderId="1" applyAlignment="1" pivotButton="0" quotePrefix="0" xfId="0">
      <alignment horizontal="left" vertical="center"/>
    </xf>
    <xf numFmtId="165" fontId="7" fillId="9" borderId="1" applyAlignment="1" pivotButton="0" quotePrefix="0" xfId="0">
      <alignment horizontal="right" vertical="center"/>
    </xf>
    <xf numFmtId="165" fontId="8" fillId="9" borderId="1" applyAlignment="1" pivotButton="0" quotePrefix="0" xfId="0">
      <alignment horizontal="right" vertical="center"/>
    </xf>
    <xf numFmtId="10" fontId="7" fillId="9" borderId="1" applyAlignment="1" pivotButton="0" quotePrefix="0" xfId="0">
      <alignment horizontal="right" vertical="center"/>
    </xf>
    <xf numFmtId="1" fontId="8" fillId="9" borderId="1" applyAlignment="1" pivotButton="0" quotePrefix="0" xfId="0">
      <alignment horizontal="right" vertical="center"/>
    </xf>
    <xf numFmtId="0" fontId="9" fillId="9" borderId="1" applyAlignment="1" pivotButton="0" quotePrefix="0" xfId="0">
      <alignment horizontal="left" vertical="center"/>
    </xf>
    <xf numFmtId="0" fontId="9" fillId="9" borderId="1" applyAlignment="1" pivotButton="0" quotePrefix="0" xfId="0">
      <alignment horizontal="center" vertical="center"/>
    </xf>
    <xf numFmtId="0" fontId="10" fillId="9" borderId="1" applyAlignment="1" pivotButton="0" quotePrefix="0" xfId="0">
      <alignment horizontal="left" vertical="center"/>
    </xf>
    <xf numFmtId="0" fontId="10" fillId="9" borderId="1" applyAlignment="1" pivotButton="0" quotePrefix="0" xfId="0">
      <alignment horizontal="center" vertical="center"/>
    </xf>
    <xf numFmtId="0" fontId="11" fillId="9" borderId="1" applyAlignment="1" pivotButton="0" quotePrefix="0" xfId="0">
      <alignment horizontal="left" vertical="center"/>
    </xf>
    <xf numFmtId="0" fontId="11" fillId="9" borderId="1" applyAlignment="1" pivotButton="0" quotePrefix="0" xfId="0">
      <alignment horizontal="center" vertical="center"/>
    </xf>
    <xf numFmtId="0" fontId="12" fillId="2" borderId="1" applyAlignment="1" pivotButton="0" quotePrefix="0" xfId="0">
      <alignment horizontal="center" vertical="center"/>
    </xf>
    <xf numFmtId="0" fontId="2" fillId="5" borderId="1" pivotButton="0" quotePrefix="0" xfId="0"/>
    <xf numFmtId="165" fontId="2" fillId="5" borderId="1" pivotButton="0" quotePrefix="0" xfId="0"/>
    <xf numFmtId="0" fontId="2" fillId="3" borderId="1" pivotButton="0" quotePrefix="0" xfId="0"/>
    <xf numFmtId="165" fontId="2" fillId="3" borderId="1" pivotButton="0" quotePrefix="0" xfId="0"/>
    <xf numFmtId="0" fontId="13" fillId="2" borderId="0" applyAlignment="1" pivotButton="0" quotePrefix="0" xfId="0">
      <alignment horizontal="center" vertical="center"/>
    </xf>
    <xf numFmtId="0" fontId="1" fillId="8" borderId="1" applyAlignment="1" pivotButton="0" quotePrefix="0" xfId="0">
      <alignment horizontal="left" vertical="center"/>
    </xf>
    <xf numFmtId="0" fontId="3" fillId="9" borderId="1" applyAlignment="1" pivotButton="0" quotePrefix="0" xfId="0">
      <alignment horizontal="left" vertical="center" wrapText="1"/>
    </xf>
    <xf numFmtId="0" fontId="2" fillId="5" borderId="1" applyAlignment="1" pivotButton="0" quotePrefix="0" xfId="0">
      <alignment horizontal="left" vertical="center" wrapText="1"/>
    </xf>
    <xf numFmtId="164" fontId="2" fillId="4" borderId="1" applyAlignment="1" pivotButton="0" quotePrefix="0" xfId="0">
      <alignment horizontal="left" vertical="center"/>
    </xf>
    <xf numFmtId="165" fontId="2" fillId="4" borderId="1" applyAlignment="1" pivotButton="0" quotePrefix="0" xfId="0">
      <alignment horizontal="left" vertical="center"/>
    </xf>
    <xf numFmtId="165" fontId="2" fillId="3" borderId="1" applyAlignment="1" pivotButton="0" quotePrefix="0" xfId="0">
      <alignment horizontal="right" vertical="center"/>
    </xf>
    <xf numFmtId="165" fontId="2" fillId="4" borderId="1" applyAlignment="1" pivotButton="0" quotePrefix="0" xfId="0">
      <alignment horizontal="right" vertical="center"/>
    </xf>
    <xf numFmtId="165" fontId="2" fillId="5" borderId="1" applyAlignment="1" pivotButton="0" quotePrefix="0" xfId="0">
      <alignment horizontal="right" vertical="center"/>
    </xf>
    <xf numFmtId="165" fontId="3" fillId="6" borderId="1" applyAlignment="1" pivotButton="0" quotePrefix="0" xfId="0">
      <alignment horizontal="right" vertical="center"/>
    </xf>
    <xf numFmtId="165" fontId="7" fillId="9" borderId="1" applyAlignment="1" pivotButton="0" quotePrefix="0" xfId="0">
      <alignment horizontal="right" vertical="center"/>
    </xf>
    <xf numFmtId="165" fontId="8" fillId="9" borderId="1" applyAlignment="1" pivotButton="0" quotePrefix="0" xfId="0">
      <alignment horizontal="right" vertical="center"/>
    </xf>
    <xf numFmtId="165" fontId="2" fillId="5" borderId="1" pivotButton="0" quotePrefix="0" xfId="0"/>
    <xf numFmtId="165" fontId="2" fillId="3" borderId="1" pivotButton="0" quotePrefix="0" xfId="0"/>
    <xf numFmtId="0" fontId="0" fillId="0" borderId="4" pivotButton="0" quotePrefix="0" xfId="0"/>
  </cellXfs>
  <cellStyles count="1">
    <cellStyle name="Normal" xfId="0" builtinId="0" hidden="0"/>
  </cellStyles>
  <dxfs count="2">
    <dxf>
      <font>
        <name val="Calibri"/>
        <b val="1"/>
        <color rgb="00166534"/>
        <sz val="10"/>
      </font>
      <fill>
        <patternFill patternType="solid">
          <fgColor rgb="00DCFCE7"/>
        </patternFill>
      </fill>
    </dxf>
    <dxf>
      <font>
        <name val="Calibri"/>
        <b val="1"/>
        <color rgb="00DC2626"/>
        <sz val="10"/>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Super Due vs Super Paid by Employee</a:t>
            </a:r>
          </a:p>
        </rich>
      </tx>
    </title>
    <plotArea>
      <barChart>
        <barDir val="col"/>
        <grouping val="clustered"/>
        <ser>
          <idx val="0"/>
          <order val="0"/>
          <tx>
            <strRef>
              <f>'Summary Dashboard'!B22</f>
            </strRef>
          </tx>
          <spPr>
            <a:solidFill xmlns:a="http://schemas.openxmlformats.org/drawingml/2006/main">
              <a:srgbClr val="0F766E"/>
            </a:solidFill>
            <a:ln xmlns:a="http://schemas.openxmlformats.org/drawingml/2006/main">
              <a:prstDash val="solid"/>
            </a:ln>
          </spPr>
          <cat>
            <numRef>
              <f>'Summary Dashboard'!$A$23:$A$32</f>
            </numRef>
          </cat>
          <val>
            <numRef>
              <f>'Summary Dashboard'!$B$23:$B$32</f>
            </numRef>
          </val>
        </ser>
        <ser>
          <idx val="1"/>
          <order val="1"/>
          <tx>
            <strRef>
              <f>'Summary Dashboard'!C22</f>
            </strRef>
          </tx>
          <spPr>
            <a:solidFill xmlns:a="http://schemas.openxmlformats.org/drawingml/2006/main">
              <a:srgbClr val="14B8A6"/>
            </a:solidFill>
            <a:ln xmlns:a="http://schemas.openxmlformats.org/drawingml/2006/main">
              <a:prstDash val="solid"/>
            </a:ln>
          </spPr>
          <cat>
            <numRef>
              <f>'Summary Dashboard'!$A$23:$A$32</f>
            </numRef>
          </cat>
          <val>
            <numRef>
              <f>'Summary Dashboard'!$C$23:$C$32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(AUD)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Contribution Status Breakdown</a:t>
            </a:r>
          </a:p>
        </rich>
      </tx>
    </title>
    <plotArea>
      <doughnutChart>
        <varyColors val="1"/>
        <ser>
          <idx val="0"/>
          <order val="0"/>
          <spPr>
            <a:ln xmlns:a="http://schemas.openxmlformats.org/drawingml/2006/main">
              <a:prstDash val="solid"/>
            </a:ln>
          </spPr>
          <dPt>
            <idx val="0"/>
            <spPr>
              <a:solidFill xmlns:a="http://schemas.openxmlformats.org/drawingml/2006/main">
                <a:srgbClr val="22C55E"/>
              </a:solidFill>
              <a:ln xmlns:a="http://schemas.openxmlformats.org/drawingml/2006/main">
                <a:prstDash val="solid"/>
              </a:ln>
            </spPr>
          </dPt>
          <dPt>
            <idx val="1"/>
            <spPr>
              <a:solidFill xmlns:a="http://schemas.openxmlformats.org/drawingml/2006/main">
                <a:srgbClr val="DC2626"/>
              </a:solidFill>
              <a:ln xmlns:a="http://schemas.openxmlformats.org/drawingml/2006/main">
                <a:prstDash val="solid"/>
              </a:ln>
            </spPr>
          </dPt>
          <dPt>
            <idx val="2"/>
            <spPr>
              <a:solidFill xmlns:a="http://schemas.openxmlformats.org/drawingml/2006/main">
                <a:srgbClr val="F97316"/>
              </a:solidFill>
              <a:ln xmlns:a="http://schemas.openxmlformats.org/drawingml/2006/main">
                <a:prstDash val="solid"/>
              </a:ln>
            </spPr>
          </dPt>
          <cat>
            <numRef>
              <f>'Summary Dashboard'!$D$15:$D$17</f>
            </numRef>
          </cat>
          <val>
            <numRef>
              <f>'Summary Dashboard'!$E$15:$E$17</f>
            </numRef>
          </val>
        </ser>
        <firstSliceAng val="0"/>
        <holeSize val="10"/>
      </doughnut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4</row>
      <rowOff>0</rowOff>
    </from>
    <ext cx="8640000" cy="50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14</row>
      <rowOff>0</rowOff>
    </from>
    <ext cx="5040000" cy="50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16" customWidth="1" min="1" max="1"/>
    <col width="18" customWidth="1" min="2" max="2"/>
    <col width="14" customWidth="1" min="3" max="3"/>
    <col width="16" customWidth="1" min="4" max="4"/>
    <col width="16" customWidth="1" min="5" max="5"/>
    <col width="15" customWidth="1" min="6" max="6"/>
    <col width="22" customWidth="1" min="7" max="7"/>
    <col width="16" customWidth="1" min="8" max="8"/>
    <col width="13" customWidth="1" min="9" max="9"/>
    <col width="13" customWidth="1" min="10" max="10"/>
    <col width="13" customWidth="1" min="11" max="11"/>
    <col width="24" customWidth="1" min="12" max="12"/>
    <col width="16" customWidth="1" min="13" max="13"/>
    <col width="22" customWidth="1" min="14" max="14"/>
    <col width="28" customWidth="1" min="15" max="15"/>
  </cols>
  <sheetData>
    <row r="1" ht="30" customHeight="1">
      <c r="A1" s="1" t="inlineStr">
        <is>
          <t>Contribution ID</t>
        </is>
      </c>
      <c r="B1" s="1" t="inlineStr">
        <is>
          <t>Employee Name</t>
        </is>
      </c>
      <c r="C1" s="1" t="inlineStr">
        <is>
          <t>City</t>
        </is>
      </c>
      <c r="D1" s="1" t="inlineStr">
        <is>
          <t>Pay Period Start</t>
        </is>
      </c>
      <c r="E1" s="1" t="inlineStr">
        <is>
          <t>Pay Period End</t>
        </is>
      </c>
      <c r="F1" s="1" t="inlineStr">
        <is>
          <t>Payment Date</t>
        </is>
      </c>
      <c r="G1" s="1" t="inlineStr">
        <is>
          <t>Contribution Type</t>
        </is>
      </c>
      <c r="H1" s="1" t="inlineStr">
        <is>
          <t>Gross OTE ($)</t>
        </is>
      </c>
      <c r="I1" s="1" t="inlineStr">
        <is>
          <t>Super Rate (%)</t>
        </is>
      </c>
      <c r="J1" s="1" t="inlineStr">
        <is>
          <t>Super Due ($)</t>
        </is>
      </c>
      <c r="K1" s="1" t="inlineStr">
        <is>
          <t>Super Paid ($)</t>
        </is>
      </c>
      <c r="L1" s="1" t="inlineStr">
        <is>
          <t>Shortfall / Overpayment ($)</t>
        </is>
      </c>
      <c r="M1" s="1" t="inlineStr">
        <is>
          <t>Status</t>
        </is>
      </c>
      <c r="N1" s="1" t="inlineStr">
        <is>
          <t>ABN / Fund Reference</t>
        </is>
      </c>
      <c r="O1" s="1" t="inlineStr">
        <is>
          <t>Notes</t>
        </is>
      </c>
    </row>
    <row r="2">
      <c r="A2" s="2" t="inlineStr">
        <is>
          <t>SC-001</t>
        </is>
      </c>
      <c r="B2" s="3" t="inlineStr">
        <is>
          <t>Jack Wilson</t>
        </is>
      </c>
      <c r="C2" s="3" t="inlineStr">
        <is>
          <t>Sydney</t>
        </is>
      </c>
      <c r="D2" s="38" t="n">
        <v>46204</v>
      </c>
      <c r="E2" s="38" t="n">
        <v>46217</v>
      </c>
      <c r="F2" s="38" t="n">
        <v>46223</v>
      </c>
      <c r="G2" s="3" t="inlineStr">
        <is>
          <t>Employer SG</t>
        </is>
      </c>
      <c r="H2" s="39" t="n">
        <v>4250</v>
      </c>
      <c r="I2" s="6" t="n">
        <v>0.115</v>
      </c>
      <c r="J2" s="40">
        <f>H2*I2</f>
        <v/>
      </c>
      <c r="K2" s="41" t="inlineStr">
        <is>
          <t>AU12345678901</t>
        </is>
      </c>
      <c r="L2" s="40">
        <f>K2-J2</f>
        <v/>
      </c>
      <c r="M2" s="2">
        <f>IF(K2&gt;=J2,"Paid in Full",IF(K2=0,"Unpaid","Shortfall"))</f>
        <v/>
      </c>
      <c r="N2" s="3" t="inlineStr"/>
      <c r="O2" s="3" t="inlineStr"/>
    </row>
    <row r="3">
      <c r="A3" s="9" t="inlineStr">
        <is>
          <t>SC-002</t>
        </is>
      </c>
      <c r="B3" s="3" t="inlineStr">
        <is>
          <t>Olivia Chen</t>
        </is>
      </c>
      <c r="C3" s="3" t="inlineStr">
        <is>
          <t>Melbourne</t>
        </is>
      </c>
      <c r="D3" s="38" t="n">
        <v>46218</v>
      </c>
      <c r="E3" s="38" t="n">
        <v>46231</v>
      </c>
      <c r="F3" s="38" t="n">
        <v>46234</v>
      </c>
      <c r="G3" s="3" t="inlineStr">
        <is>
          <t>Employer SG</t>
        </is>
      </c>
      <c r="H3" s="39" t="n">
        <v>5100</v>
      </c>
      <c r="I3" s="6" t="n">
        <v>0.115</v>
      </c>
      <c r="J3" s="42">
        <f>H3*I3</f>
        <v/>
      </c>
      <c r="K3" s="41" t="inlineStr">
        <is>
          <t>AU23456789012</t>
        </is>
      </c>
      <c r="L3" s="42">
        <f>K3-J3</f>
        <v/>
      </c>
      <c r="M3" s="9">
        <f>IF(K3&gt;=J3,"Paid in Full",IF(K3=0,"Unpaid","Shortfall"))</f>
        <v/>
      </c>
      <c r="N3" s="3" t="inlineStr"/>
      <c r="O3" s="3" t="inlineStr"/>
    </row>
    <row r="4">
      <c r="A4" s="2" t="inlineStr">
        <is>
          <t>SC-003</t>
        </is>
      </c>
      <c r="B4" s="3" t="inlineStr">
        <is>
          <t>Liam Brown</t>
        </is>
      </c>
      <c r="C4" s="3" t="inlineStr">
        <is>
          <t>Brisbane</t>
        </is>
      </c>
      <c r="D4" s="38" t="n">
        <v>46235</v>
      </c>
      <c r="E4" s="38" t="n">
        <v>46248</v>
      </c>
      <c r="F4" s="38" t="n">
        <v>46254</v>
      </c>
      <c r="G4" s="3" t="inlineStr">
        <is>
          <t>Salary Sacrifice</t>
        </is>
      </c>
      <c r="H4" s="39" t="n">
        <v>3900</v>
      </c>
      <c r="I4" s="6" t="n">
        <v>0.115</v>
      </c>
      <c r="J4" s="40">
        <f>H4*I4</f>
        <v/>
      </c>
      <c r="K4" s="41" t="inlineStr">
        <is>
          <t>AU34567890123</t>
        </is>
      </c>
      <c r="L4" s="40">
        <f>K4-J4</f>
        <v/>
      </c>
      <c r="M4" s="2">
        <f>IF(K4&gt;=J4,"Paid in Full",IF(K4=0,"Unpaid","Shortfall"))</f>
        <v/>
      </c>
      <c r="N4" s="3" t="inlineStr">
        <is>
          <t>Partial payment</t>
        </is>
      </c>
      <c r="O4" s="3" t="inlineStr"/>
    </row>
    <row r="5">
      <c r="A5" s="9" t="inlineStr">
        <is>
          <t>SC-004</t>
        </is>
      </c>
      <c r="B5" s="3" t="inlineStr">
        <is>
          <t>Charlotte Taylor</t>
        </is>
      </c>
      <c r="C5" s="3" t="inlineStr">
        <is>
          <t>Perth</t>
        </is>
      </c>
      <c r="D5" s="38" t="n">
        <v>46249</v>
      </c>
      <c r="E5" s="38" t="n">
        <v>46262</v>
      </c>
      <c r="F5" s="38" t="n">
        <v>46265</v>
      </c>
      <c r="G5" s="3" t="inlineStr">
        <is>
          <t>Employer SG</t>
        </is>
      </c>
      <c r="H5" s="39" t="n">
        <v>6700</v>
      </c>
      <c r="I5" s="6" t="n">
        <v>0.115</v>
      </c>
      <c r="J5" s="42">
        <f>H5*I5</f>
        <v/>
      </c>
      <c r="K5" s="41" t="inlineStr">
        <is>
          <t>AU45678901234</t>
        </is>
      </c>
      <c r="L5" s="42">
        <f>K5-J5</f>
        <v/>
      </c>
      <c r="M5" s="9">
        <f>IF(K5&gt;=J5,"Paid in Full",IF(K5=0,"Unpaid","Shortfall"))</f>
        <v/>
      </c>
      <c r="N5" s="3" t="inlineStr">
        <is>
          <t>Awaiting bank transfer</t>
        </is>
      </c>
      <c r="O5" s="3" t="inlineStr"/>
    </row>
    <row r="6">
      <c r="A6" s="2" t="inlineStr">
        <is>
          <t>SC-005</t>
        </is>
      </c>
      <c r="B6" s="3" t="inlineStr">
        <is>
          <t>Noah Martin</t>
        </is>
      </c>
      <c r="C6" s="3" t="inlineStr">
        <is>
          <t>Adelaide</t>
        </is>
      </c>
      <c r="D6" s="38" t="n">
        <v>46266</v>
      </c>
      <c r="E6" s="38" t="n">
        <v>46279</v>
      </c>
      <c r="F6" s="38" t="n">
        <v>46284</v>
      </c>
      <c r="G6" s="3" t="inlineStr">
        <is>
          <t>Voluntary Contribution</t>
        </is>
      </c>
      <c r="H6" s="39" t="n">
        <v>4800</v>
      </c>
      <c r="I6" s="6" t="n">
        <v>0.115</v>
      </c>
      <c r="J6" s="40">
        <f>H6*I6</f>
        <v/>
      </c>
      <c r="K6" s="41" t="inlineStr">
        <is>
          <t>AU56789012345</t>
        </is>
      </c>
      <c r="L6" s="40">
        <f>K6-J6</f>
        <v/>
      </c>
      <c r="M6" s="2">
        <f>IF(K6&gt;=J6,"Paid in Full",IF(K6=0,"Unpaid","Shortfall"))</f>
        <v/>
      </c>
      <c r="N6" s="3" t="inlineStr"/>
      <c r="O6" s="3" t="inlineStr"/>
    </row>
    <row r="7">
      <c r="A7" s="9" t="inlineStr">
        <is>
          <t>SC-006</t>
        </is>
      </c>
      <c r="B7" s="3" t="inlineStr">
        <is>
          <t>Mia Anderson</t>
        </is>
      </c>
      <c r="C7" s="3" t="inlineStr">
        <is>
          <t>Gold Coast</t>
        </is>
      </c>
      <c r="D7" s="38" t="n">
        <v>46280</v>
      </c>
      <c r="E7" s="38" t="n">
        <v>46293</v>
      </c>
      <c r="F7" s="38" t="n">
        <v>46295</v>
      </c>
      <c r="G7" s="3" t="inlineStr">
        <is>
          <t>Employer SG</t>
        </is>
      </c>
      <c r="H7" s="39" t="n">
        <v>5450</v>
      </c>
      <c r="I7" s="6" t="n">
        <v>0.115</v>
      </c>
      <c r="J7" s="42">
        <f>H7*I7</f>
        <v/>
      </c>
      <c r="K7" s="41" t="inlineStr">
        <is>
          <t>AU67890123456</t>
        </is>
      </c>
      <c r="L7" s="42">
        <f>K7-J7</f>
        <v/>
      </c>
      <c r="M7" s="9">
        <f>IF(K7&gt;=J7,"Paid in Full",IF(K7=0,"Unpaid","Shortfall"))</f>
        <v/>
      </c>
      <c r="N7" s="3" t="inlineStr">
        <is>
          <t>Minor shortfall</t>
        </is>
      </c>
      <c r="O7" s="3" t="inlineStr"/>
    </row>
    <row r="8">
      <c r="A8" s="2" t="inlineStr">
        <is>
          <t>SC-007</t>
        </is>
      </c>
      <c r="B8" s="3" t="inlineStr">
        <is>
          <t>Ethan Scott</t>
        </is>
      </c>
      <c r="C8" s="3" t="inlineStr">
        <is>
          <t>Canberra</t>
        </is>
      </c>
      <c r="D8" s="38" t="n">
        <v>46296</v>
      </c>
      <c r="E8" s="38" t="n">
        <v>46309</v>
      </c>
      <c r="F8" s="38" t="n">
        <v>46315</v>
      </c>
      <c r="G8" s="3" t="inlineStr">
        <is>
          <t>Salary Sacrifice</t>
        </is>
      </c>
      <c r="H8" s="39" t="n">
        <v>7200</v>
      </c>
      <c r="I8" s="6" t="n">
        <v>0.115</v>
      </c>
      <c r="J8" s="40">
        <f>H8*I8</f>
        <v/>
      </c>
      <c r="K8" s="41" t="inlineStr">
        <is>
          <t>AU78901234567</t>
        </is>
      </c>
      <c r="L8" s="40">
        <f>K8-J8</f>
        <v/>
      </c>
      <c r="M8" s="2">
        <f>IF(K8&gt;=J8,"Paid in Full",IF(K8=0,"Unpaid","Shortfall"))</f>
        <v/>
      </c>
      <c r="N8" s="3" t="inlineStr"/>
      <c r="O8" s="3" t="inlineStr"/>
    </row>
    <row r="9">
      <c r="A9" s="9" t="inlineStr">
        <is>
          <t>SC-008</t>
        </is>
      </c>
      <c r="B9" s="3" t="inlineStr">
        <is>
          <t>Ruby Patel</t>
        </is>
      </c>
      <c r="C9" s="3" t="inlineStr">
        <is>
          <t>Hobart</t>
        </is>
      </c>
      <c r="D9" s="38" t="n">
        <v>46310</v>
      </c>
      <c r="E9" s="38" t="n">
        <v>46323</v>
      </c>
      <c r="F9" s="38" t="n">
        <v>46326</v>
      </c>
      <c r="G9" s="3" t="inlineStr">
        <is>
          <t>Employer SG</t>
        </is>
      </c>
      <c r="H9" s="39" t="n">
        <v>4150</v>
      </c>
      <c r="I9" s="6" t="n">
        <v>0.115</v>
      </c>
      <c r="J9" s="42">
        <f>H9*I9</f>
        <v/>
      </c>
      <c r="K9" s="41" t="inlineStr">
        <is>
          <t>AU89012345678</t>
        </is>
      </c>
      <c r="L9" s="42">
        <f>K9-J9</f>
        <v/>
      </c>
      <c r="M9" s="9">
        <f>IF(K9&gt;=J9,"Paid in Full",IF(K9=0,"Unpaid","Shortfall"))</f>
        <v/>
      </c>
      <c r="N9" s="3" t="inlineStr"/>
      <c r="O9" s="3" t="inlineStr"/>
    </row>
    <row r="10">
      <c r="A10" s="2" t="inlineStr">
        <is>
          <t>SC-009</t>
        </is>
      </c>
      <c r="B10" s="3" t="inlineStr">
        <is>
          <t>Cooper Evans</t>
        </is>
      </c>
      <c r="C10" s="3" t="inlineStr">
        <is>
          <t>Newcastle</t>
        </is>
      </c>
      <c r="D10" s="38" t="n">
        <v>46327</v>
      </c>
      <c r="E10" s="38" t="n">
        <v>46340</v>
      </c>
      <c r="F10" s="38" t="n">
        <v>46346</v>
      </c>
      <c r="G10" s="3" t="inlineStr">
        <is>
          <t>Employer SG</t>
        </is>
      </c>
      <c r="H10" s="39" t="n">
        <v>5980</v>
      </c>
      <c r="I10" s="6" t="n">
        <v>0.115</v>
      </c>
      <c r="J10" s="40">
        <f>H10*I10</f>
        <v/>
      </c>
      <c r="K10" s="41" t="inlineStr">
        <is>
          <t>AU90123456789</t>
        </is>
      </c>
      <c r="L10" s="40">
        <f>K10-J10</f>
        <v/>
      </c>
      <c r="M10" s="2">
        <f>IF(K10&gt;=J10,"Paid in Full",IF(K10=0,"Unpaid","Shortfall"))</f>
        <v/>
      </c>
      <c r="N10" s="3" t="inlineStr">
        <is>
          <t>Partial payment</t>
        </is>
      </c>
      <c r="O10" s="3" t="inlineStr"/>
    </row>
    <row r="11">
      <c r="A11" s="9" t="inlineStr">
        <is>
          <t>SC-010</t>
        </is>
      </c>
      <c r="B11" s="3" t="inlineStr">
        <is>
          <t>Isla Johnson</t>
        </is>
      </c>
      <c r="C11" s="3" t="inlineStr">
        <is>
          <t>Wollongong</t>
        </is>
      </c>
      <c r="D11" s="38" t="n">
        <v>46341</v>
      </c>
      <c r="E11" s="38" t="n">
        <v>46354</v>
      </c>
      <c r="F11" s="38" t="n">
        <v>46356</v>
      </c>
      <c r="G11" s="3" t="inlineStr">
        <is>
          <t>Voluntary Contribution</t>
        </is>
      </c>
      <c r="H11" s="39" t="n">
        <v>3250</v>
      </c>
      <c r="I11" s="6" t="n">
        <v>0.115</v>
      </c>
      <c r="J11" s="42">
        <f>H11*I11</f>
        <v/>
      </c>
      <c r="K11" s="41" t="inlineStr">
        <is>
          <t>AU01234567890</t>
        </is>
      </c>
      <c r="L11" s="42">
        <f>K11-J11</f>
        <v/>
      </c>
      <c r="M11" s="9">
        <f>IF(K11&gt;=J11,"Paid in Full",IF(K11=0,"Unpaid","Shortfall"))</f>
        <v/>
      </c>
      <c r="N11" s="3" t="inlineStr"/>
      <c r="O11" s="3" t="inlineStr"/>
    </row>
    <row r="12" ht="22" customHeight="1">
      <c r="A12" s="11" t="inlineStr">
        <is>
          <t>TOTALS</t>
        </is>
      </c>
      <c r="H12" s="43">
        <f>SUM(H2:H11)</f>
        <v/>
      </c>
      <c r="J12" s="43">
        <f>SUM(J2:J11)</f>
        <v/>
      </c>
      <c r="K12" s="43">
        <f>SUM(K2:K11)</f>
        <v/>
      </c>
      <c r="L12" s="43">
        <f>SUM(L2:L11)</f>
        <v/>
      </c>
    </row>
    <row r="13">
      <c r="A13" s="11" t="inlineStr">
        <is>
          <t>AVERAGES</t>
        </is>
      </c>
      <c r="H13" s="43">
        <f>AVERAGE(H2:H11)</f>
        <v/>
      </c>
      <c r="J13" s="43">
        <f>AVERAGE(J2:J11)</f>
        <v/>
      </c>
      <c r="K13" s="43">
        <f>AVERAGE(K2:K11)</f>
        <v/>
      </c>
    </row>
    <row r="14"/>
    <row r="15">
      <c r="A15" s="13" t="inlineStr">
        <is>
          <t>Status Count:</t>
        </is>
      </c>
      <c r="B15" s="14" t="inlineStr">
        <is>
          <t>Paid in Full</t>
        </is>
      </c>
      <c r="C15" s="14">
        <f>COUNTIF(M2:M11,"Paid in Full")</f>
        <v/>
      </c>
      <c r="D15" s="14" t="inlineStr">
        <is>
          <t>Shortfall</t>
        </is>
      </c>
      <c r="E15" s="14">
        <f>COUNTIF(M2:M11,"Shortfall")</f>
        <v/>
      </c>
      <c r="F15" s="14" t="inlineStr">
        <is>
          <t>Unpaid</t>
        </is>
      </c>
      <c r="G15" s="14">
        <f>COUNTIF(M2:M11,"Unpaid")</f>
        <v/>
      </c>
    </row>
  </sheetData>
  <conditionalFormatting sqref="M2:M11">
    <cfRule type="expression" priority="1" dxfId="0" stopIfTrue="1">
      <formula>$M2="Paid in Full"</formula>
    </cfRule>
    <cfRule type="expression" priority="2" dxfId="1" stopIfTrue="1">
      <formula>$M2="Shortfall"</formula>
    </cfRule>
    <cfRule type="expression" priority="3" dxfId="1" stopIfTrue="1">
      <formula>$M2="Unpaid"</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28" customWidth="1" min="1" max="1"/>
    <col width="22" customWidth="1" min="2" max="2"/>
    <col width="20" customWidth="1" min="3" max="3"/>
    <col width="20" customWidth="1" min="4" max="4"/>
    <col width="20" customWidth="1" min="5" max="5"/>
  </cols>
  <sheetData>
    <row r="1" ht="36" customHeight="1">
      <c r="A1" s="15" t="inlineStr">
        <is>
          <t>Superannuation Contributions – Summary Dashboard</t>
        </is>
      </c>
    </row>
    <row r="2" ht="22" customHeight="1">
      <c r="A2" s="16" t="inlineStr">
        <is>
          <t>Financial Year 2025–26  |  Super Guarantee Rate: 11.5%  |  ATO Compliant Record</t>
        </is>
      </c>
    </row>
    <row r="3"/>
    <row r="4" ht="24" customHeight="1">
      <c r="A4" s="17" t="inlineStr">
        <is>
          <t>KEY PERFORMANCE INDICATORS</t>
        </is>
      </c>
    </row>
    <row r="5" ht="22" customHeight="1">
      <c r="A5" s="18" t="inlineStr">
        <is>
          <t>Total Gross OTE ($)</t>
        </is>
      </c>
      <c r="B5" s="44">
        <f>IFERROR(SUM('Contributions Log'!H2:H11),0)</f>
        <v/>
      </c>
    </row>
    <row r="6" ht="22" customHeight="1">
      <c r="A6" s="18" t="inlineStr">
        <is>
          <t>Total Super Due ($)</t>
        </is>
      </c>
      <c r="B6" s="44">
        <f>IFERROR(SUM('Contributions Log'!J2:J11),0)</f>
        <v/>
      </c>
    </row>
    <row r="7" ht="22" customHeight="1">
      <c r="A7" s="18" t="inlineStr">
        <is>
          <t>Total Super Paid ($)</t>
        </is>
      </c>
      <c r="B7" s="44">
        <f>IFERROR(SUM('Contributions Log'!K2:K11),0)</f>
        <v/>
      </c>
    </row>
    <row r="8" ht="22" customHeight="1">
      <c r="A8" s="18" t="inlineStr">
        <is>
          <t>Total Shortfall ($)</t>
        </is>
      </c>
      <c r="B8" s="45">
        <f>IFERROR(SUM('Contributions Log'!L2:L11),0)</f>
        <v/>
      </c>
    </row>
    <row r="9" ht="22" customHeight="1">
      <c r="A9" s="18" t="inlineStr">
        <is>
          <t>Average Super Rate (%)</t>
        </is>
      </c>
      <c r="B9" s="21">
        <f>IFERROR(AVERAGE('Contributions Log'!I2:I11),0)</f>
        <v/>
      </c>
    </row>
    <row r="10" ht="22" customHeight="1">
      <c r="A10" s="18" t="inlineStr">
        <is>
          <t>% Paid in Full</t>
        </is>
      </c>
      <c r="B10" s="21">
        <f>IFERROR(COUNTIF('Contributions Log'!M2:M11,"Paid in Full")/COUNTA('Contributions Log'!A2:A11),0)</f>
        <v/>
      </c>
    </row>
    <row r="11" ht="22" customHeight="1">
      <c r="A11" s="18" t="inlineStr">
        <is>
          <t>Count – Unpaid</t>
        </is>
      </c>
      <c r="B11" s="22">
        <f>IFERROR(COUNTIF('Contributions Log'!M2:M11,"Unpaid"),0)</f>
        <v/>
      </c>
    </row>
    <row r="12" ht="22" customHeight="1">
      <c r="A12" s="18" t="inlineStr">
        <is>
          <t>Count – Shortfall</t>
        </is>
      </c>
      <c r="B12" s="22">
        <f>IFERROR(COUNTIF('Contributions Log'!M2:M11,"Shortfall"),0)</f>
        <v/>
      </c>
    </row>
    <row r="13"/>
    <row r="14" ht="24" customHeight="1">
      <c r="A14" s="17" t="inlineStr">
        <is>
          <t>CONTRIBUTIONS BY STATUS</t>
        </is>
      </c>
    </row>
    <row r="15" ht="20" customHeight="1">
      <c r="A15" s="23" t="inlineStr">
        <is>
          <t>Paid in Full</t>
        </is>
      </c>
      <c r="B15" s="24">
        <f>IFERROR(COUNTIF('Contributions Log'!M2:M11,"Paid in Full"),0)</f>
        <v/>
      </c>
      <c r="D15" t="inlineStr">
        <is>
          <t>Paid in Full</t>
        </is>
      </c>
      <c r="E15">
        <f>IFERROR(COUNTIF('Contributions Log'!M2:M11,"Paid in Full"),0)</f>
        <v/>
      </c>
    </row>
    <row r="16" ht="20" customHeight="1">
      <c r="A16" s="25" t="inlineStr">
        <is>
          <t>Shortfall</t>
        </is>
      </c>
      <c r="B16" s="26">
        <f>IFERROR(COUNTIF('Contributions Log'!M2:M11,"Shortfall"),0)</f>
        <v/>
      </c>
      <c r="D16" t="inlineStr">
        <is>
          <t>Shortfall</t>
        </is>
      </c>
      <c r="E16">
        <f>IFERROR(COUNTIF('Contributions Log'!M2:M11,"Shortfall"),0)</f>
        <v/>
      </c>
    </row>
    <row r="17" ht="20" customHeight="1">
      <c r="A17" s="27" t="inlineStr">
        <is>
          <t>Unpaid</t>
        </is>
      </c>
      <c r="B17" s="28">
        <f>IFERROR(COUNTIF('Contributions Log'!M2:M11,"Unpaid"),0)</f>
        <v/>
      </c>
      <c r="D17" t="inlineStr">
        <is>
          <t>Unpaid</t>
        </is>
      </c>
      <c r="E17">
        <f>IFERROR(COUNTIF('Contributions Log'!M2:M11,"Unpaid"),0)</f>
        <v/>
      </c>
    </row>
    <row r="18"/>
    <row r="19"/>
    <row r="20"/>
    <row r="21"/>
    <row r="22">
      <c r="A22" s="29" t="inlineStr">
        <is>
          <t>Employee</t>
        </is>
      </c>
      <c r="B22" s="29" t="inlineStr">
        <is>
          <t>Super Due ($)</t>
        </is>
      </c>
      <c r="C22" s="29" t="inlineStr">
        <is>
          <t>Super Paid ($)</t>
        </is>
      </c>
    </row>
    <row r="23">
      <c r="A23" s="30" t="inlineStr">
        <is>
          <t>Jack Wilson</t>
        </is>
      </c>
      <c r="B23" s="46" t="n">
        <v>488.75</v>
      </c>
      <c r="C23" s="46" t="n">
        <v>488.75</v>
      </c>
    </row>
    <row r="24">
      <c r="A24" s="32" t="inlineStr">
        <is>
          <t>Olivia Chen</t>
        </is>
      </c>
      <c r="B24" s="47" t="n">
        <v>586.5</v>
      </c>
      <c r="C24" s="47" t="n">
        <v>586.5</v>
      </c>
    </row>
    <row r="25">
      <c r="A25" s="30" t="inlineStr">
        <is>
          <t>Liam Brown</t>
        </is>
      </c>
      <c r="B25" s="46" t="n">
        <v>448.5</v>
      </c>
      <c r="C25" s="46" t="n">
        <v>450</v>
      </c>
    </row>
    <row r="26">
      <c r="A26" s="32" t="inlineStr">
        <is>
          <t>Charlotte Taylor</t>
        </is>
      </c>
      <c r="B26" s="47" t="n">
        <v>770.5</v>
      </c>
      <c r="C26" s="47" t="n">
        <v>0</v>
      </c>
    </row>
    <row r="27">
      <c r="A27" s="30" t="inlineStr">
        <is>
          <t>Noah Martin</t>
        </is>
      </c>
      <c r="B27" s="46" t="n">
        <v>552</v>
      </c>
      <c r="C27" s="46" t="n">
        <v>552</v>
      </c>
    </row>
    <row r="28">
      <c r="A28" s="32" t="inlineStr">
        <is>
          <t>Mia Anderson</t>
        </is>
      </c>
      <c r="B28" s="47" t="n">
        <v>626.75</v>
      </c>
      <c r="C28" s="47" t="n">
        <v>610</v>
      </c>
    </row>
    <row r="29">
      <c r="A29" s="30" t="inlineStr">
        <is>
          <t>Ethan Scott</t>
        </is>
      </c>
      <c r="B29" s="46" t="n">
        <v>828</v>
      </c>
      <c r="C29" s="46" t="n">
        <v>828</v>
      </c>
    </row>
    <row r="30">
      <c r="A30" s="32" t="inlineStr">
        <is>
          <t>Ruby Patel</t>
        </is>
      </c>
      <c r="B30" s="47" t="n">
        <v>477.25</v>
      </c>
      <c r="C30" s="47" t="n">
        <v>477.25</v>
      </c>
    </row>
    <row r="31">
      <c r="A31" s="30" t="inlineStr">
        <is>
          <t>Cooper Evans</t>
        </is>
      </c>
      <c r="B31" s="46" t="n">
        <v>687.7</v>
      </c>
      <c r="C31" s="46" t="n">
        <v>600</v>
      </c>
    </row>
    <row r="32">
      <c r="A32" s="32" t="inlineStr">
        <is>
          <t>Isla Johnson</t>
        </is>
      </c>
      <c r="B32" s="47" t="n">
        <v>373.75</v>
      </c>
      <c r="C32" s="47" t="n">
        <v>373.75</v>
      </c>
    </row>
  </sheetData>
  <mergeCells count="4">
    <mergeCell ref="A1:E1"/>
    <mergeCell ref="A2:E2"/>
    <mergeCell ref="A4:E4"/>
    <mergeCell ref="A14:E1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22" customWidth="1" min="1" max="1"/>
    <col width="70" customWidth="1" min="2" max="2"/>
  </cols>
  <sheetData>
    <row r="1" ht="36" customHeight="1">
      <c r="A1" s="34" t="inlineStr">
        <is>
          <t>Superannuation Contributions Tracker – User Guide</t>
        </is>
      </c>
    </row>
    <row r="2" ht="18" customHeight="1">
      <c r="A2" s="35" t="inlineStr">
        <is>
          <t>PURPOSE</t>
        </is>
      </c>
      <c r="B2" s="48" t="n"/>
    </row>
    <row r="3" ht="30" customHeight="1">
      <c r="A3" s="36" t="inlineStr">
        <is>
          <t>Overview</t>
        </is>
      </c>
      <c r="B3" s="37" t="inlineStr">
        <is>
          <t>This workbook helps Australian payroll and HR administrators track superannuation contributions for each employee. It records gross ordinary time earnings (OTE), super due, super paid, and any shortfalls, in line with ATO requirements.</t>
        </is>
      </c>
    </row>
    <row r="4" ht="18" customHeight="1"/>
    <row r="5" ht="18" customHeight="1">
      <c r="A5" s="35" t="inlineStr">
        <is>
          <t>CONTRIBUTIONS LOG – HOW TO USE</t>
        </is>
      </c>
      <c r="B5" s="48" t="n"/>
    </row>
    <row r="6" ht="30" customHeight="1">
      <c r="A6" s="36" t="inlineStr">
        <is>
          <t>Contribution ID</t>
        </is>
      </c>
      <c r="B6" s="37" t="inlineStr">
        <is>
          <t>Auto-label (e.g. SC-001). Do not edit.</t>
        </is>
      </c>
    </row>
    <row r="7" ht="30" customHeight="1">
      <c r="A7" s="36" t="inlineStr">
        <is>
          <t>Employee Name</t>
        </is>
      </c>
      <c r="B7" s="37" t="inlineStr">
        <is>
          <t>Enter the employee's full legal name.</t>
        </is>
      </c>
    </row>
    <row r="8" ht="30" customHeight="1">
      <c r="A8" s="36" t="inlineStr">
        <is>
          <t>City</t>
        </is>
      </c>
      <c r="B8" s="37" t="inlineStr">
        <is>
          <t>Enter the employee's primary work location.</t>
        </is>
      </c>
    </row>
    <row r="9" ht="30" customHeight="1">
      <c r="A9" s="36" t="inlineStr">
        <is>
          <t>Pay Period Start/End</t>
        </is>
      </c>
      <c r="B9" s="37" t="inlineStr">
        <is>
          <t>Enter dates in DD/MM/YYYY format covering the pay period.</t>
        </is>
      </c>
    </row>
    <row r="10" ht="30" customHeight="1">
      <c r="A10" s="36" t="inlineStr">
        <is>
          <t>Payment Date</t>
        </is>
      </c>
      <c r="B10" s="37" t="inlineStr">
        <is>
          <t>The date the super contribution was actually paid to the fund.</t>
        </is>
      </c>
    </row>
    <row r="11" ht="30" customHeight="1">
      <c r="A11" s="36" t="inlineStr">
        <is>
          <t>Contribution Type</t>
        </is>
      </c>
      <c r="B11" s="37" t="inlineStr">
        <is>
          <t>Choose from: Employer SG / Salary Sacrifice / Voluntary Contribution / Defined Benefit.</t>
        </is>
      </c>
    </row>
    <row r="12" ht="30" customHeight="1">
      <c r="A12" s="36" t="inlineStr">
        <is>
          <t>Gross OTE ($)</t>
        </is>
      </c>
      <c r="B12" s="37" t="inlineStr">
        <is>
          <t>Gross Ordinary Time Earnings for the period (excl. overtime, unless applicable).</t>
        </is>
      </c>
    </row>
    <row r="13" ht="30" customHeight="1">
      <c r="A13" s="36" t="inlineStr">
        <is>
          <t>Super Rate (%)</t>
        </is>
      </c>
      <c r="B13" s="37" t="inlineStr">
        <is>
          <t>Enter as a decimal (e.g. 0.115 for 11.5%). The current SG rate is 11.5% for FY2025-26.</t>
        </is>
      </c>
    </row>
    <row r="14" ht="30" customHeight="1">
      <c r="A14" s="36" t="inlineStr">
        <is>
          <t>Super Due ($)</t>
        </is>
      </c>
      <c r="B14" s="37" t="inlineStr">
        <is>
          <t>Calculated automatically: Gross OTE × Super Rate.</t>
        </is>
      </c>
    </row>
    <row r="15" ht="30" customHeight="1">
      <c r="A15" s="36" t="inlineStr">
        <is>
          <t>Super Paid ($)</t>
        </is>
      </c>
      <c r="B15" s="37" t="inlineStr">
        <is>
          <t>Enter the actual dollar amount paid to the employee's super fund.</t>
        </is>
      </c>
    </row>
    <row r="16" ht="30" customHeight="1">
      <c r="A16" s="36" t="inlineStr">
        <is>
          <t>Shortfall ($)</t>
        </is>
      </c>
      <c r="B16" s="37" t="inlineStr">
        <is>
          <t>Calculated automatically: Super Paid − Super Due. Negative = shortfall.</t>
        </is>
      </c>
    </row>
    <row r="17" ht="30" customHeight="1">
      <c r="A17" s="36" t="inlineStr">
        <is>
          <t>Status</t>
        </is>
      </c>
      <c r="B17" s="37" t="inlineStr">
        <is>
          <t>Calculated automatically: Paid in Full / Shortfall / Unpaid.</t>
        </is>
      </c>
    </row>
    <row r="18" ht="30" customHeight="1">
      <c r="A18" s="36" t="inlineStr">
        <is>
          <t>ABN / Fund Reference</t>
        </is>
      </c>
      <c r="B18" s="37" t="inlineStr">
        <is>
          <t>Employee's super fund ABN or member reference number.</t>
        </is>
      </c>
    </row>
    <row r="19" ht="30" customHeight="1">
      <c r="A19" s="36" t="inlineStr">
        <is>
          <t>Notes</t>
        </is>
      </c>
      <c r="B19" s="37" t="inlineStr">
        <is>
          <t>Any additional notes (e.g. 'awaiting rollover', 'amended after payroll correction').</t>
        </is>
      </c>
    </row>
    <row r="20" ht="18" customHeight="1"/>
    <row r="21" ht="18" customHeight="1">
      <c r="A21" s="35" t="inlineStr">
        <is>
          <t>AUSTRALIAN SUPER RULES</t>
        </is>
      </c>
      <c r="B21" s="48" t="n"/>
    </row>
    <row r="22" ht="30" customHeight="1">
      <c r="A22" s="36" t="inlineStr">
        <is>
          <t>Super Guarantee (SG) Rate</t>
        </is>
      </c>
      <c r="B22" s="37" t="inlineStr">
        <is>
          <t>11.5% of Ordinary Time Earnings for the financial year commencing 1 July 2026.</t>
        </is>
      </c>
    </row>
    <row r="23" ht="30" customHeight="1">
      <c r="A23" s="36" t="inlineStr">
        <is>
          <t>Financial Year</t>
        </is>
      </c>
      <c r="B23" s="37" t="inlineStr">
        <is>
          <t>Runs from 1 July to 30 June each year.</t>
        </is>
      </c>
    </row>
    <row r="24" ht="30" customHeight="1">
      <c r="A24" s="36" t="inlineStr">
        <is>
          <t>Quarterly Payment Deadlines</t>
        </is>
      </c>
      <c r="B24" s="37" t="inlineStr">
        <is>
          <t>Q1: 28 Oct | Q2: 28 Jan | Q3: 28 Apr | Q4: 28 Jul (following year).</t>
        </is>
      </c>
    </row>
    <row r="25" ht="30" customHeight="1">
      <c r="A25" s="36" t="inlineStr">
        <is>
          <t>GST on Contributions</t>
        </is>
      </c>
      <c r="B25" s="37" t="inlineStr">
        <is>
          <t>GST generally does not apply to superannuation contributions.</t>
        </is>
      </c>
    </row>
    <row r="26" ht="30" customHeight="1">
      <c r="A26" s="36" t="inlineStr">
        <is>
          <t>ATO Record Keeping</t>
        </is>
      </c>
      <c r="B26" s="37" t="inlineStr">
        <is>
          <t>Employers must keep super records for a minimum of 5 years for ATO compliance.</t>
        </is>
      </c>
    </row>
    <row r="27" ht="30" customHeight="1">
      <c r="A27" s="36" t="inlineStr">
        <is>
          <t>Salary Sacrifice</t>
        </is>
      </c>
      <c r="B27" s="37" t="inlineStr">
        <is>
          <t>Pre-tax contributions reduce the employee's taxable income. Must be documented in writing.</t>
        </is>
      </c>
    </row>
    <row r="28" ht="30" customHeight="1">
      <c r="A28" s="36" t="inlineStr">
        <is>
          <t>Concessional Contributions Cap</t>
        </is>
      </c>
      <c r="B28" s="37" t="inlineStr">
        <is>
          <t>$30,000 per financial year (2025-26). Includes employer SG and salary sacrifice.</t>
        </is>
      </c>
    </row>
    <row r="29" ht="18" customHeight="1"/>
    <row r="30" ht="18" customHeight="1">
      <c r="A30" s="35" t="inlineStr">
        <is>
          <t>SUMMARY DASHBOARD</t>
        </is>
      </c>
      <c r="B30" s="48" t="n"/>
    </row>
    <row r="31" ht="30" customHeight="1">
      <c r="A31" s="36" t="inlineStr">
        <is>
          <t>KPI Metrics</t>
        </is>
      </c>
      <c r="B31" s="37" t="inlineStr">
        <is>
          <t>Displays totals for OTE, super due, paid, and shortfall drawn from the Contributions Log.</t>
        </is>
      </c>
    </row>
    <row r="32" ht="30" customHeight="1">
      <c r="A32" s="36" t="inlineStr">
        <is>
          <t>Charts</t>
        </is>
      </c>
      <c r="B32" s="37" t="inlineStr">
        <is>
          <t>Bar chart shows due vs paid per employee. Donut chart shows status breakdown.</t>
        </is>
      </c>
    </row>
    <row r="33" ht="18" customHeight="1"/>
    <row r="34" ht="18" customHeight="1">
      <c r="A34" s="35" t="inlineStr">
        <is>
          <t>COLOUR LEGEND</t>
        </is>
      </c>
      <c r="B34" s="48" t="n"/>
    </row>
    <row r="35" ht="30" customHeight="1">
      <c r="A35" s="36" t="inlineStr">
        <is>
          <t>Pale Yellow (#FFFBEB)</t>
        </is>
      </c>
      <c r="B35" s="37" t="inlineStr">
        <is>
          <t>Input cells – enter your data here.</t>
        </is>
      </c>
    </row>
    <row r="36" ht="30" customHeight="1">
      <c r="A36" s="36" t="inlineStr">
        <is>
          <t>Green fill</t>
        </is>
      </c>
      <c r="B36" s="37" t="inlineStr">
        <is>
          <t>Paid in Full – contribution has been fully remitted.</t>
        </is>
      </c>
    </row>
    <row r="37" ht="30" customHeight="1">
      <c r="A37" s="36" t="inlineStr">
        <is>
          <t>Red fill</t>
        </is>
      </c>
      <c r="B37" s="37" t="inlineStr">
        <is>
          <t>Shortfall or Unpaid – action required.</t>
        </is>
      </c>
    </row>
    <row r="38" ht="30" customHeight="1">
      <c r="A38" s="36" t="inlineStr">
        <is>
          <t>Dark teal header</t>
        </is>
      </c>
      <c r="B38" s="37" t="inlineStr">
        <is>
          <t>Column headers and dashboard section labels.</t>
        </is>
      </c>
    </row>
    <row r="39" ht="30" customHeight="1">
      <c r="A39" s="36" t="inlineStr">
        <is>
          <t>Alternating rows</t>
        </is>
      </c>
      <c r="B39" s="37" t="inlineStr">
        <is>
          <t>White / light blue for easy reading.</t>
        </is>
      </c>
    </row>
  </sheetData>
  <mergeCells count="6">
    <mergeCell ref="A1:B1"/>
    <mergeCell ref="A2:B2"/>
    <mergeCell ref="A5:B5"/>
    <mergeCell ref="A21:B21"/>
    <mergeCell ref="A30:B30"/>
    <mergeCell ref="A34:B3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2026-06-18T12:07:22Z</dcterms:created>
  <dcterms:modified xmlns:dcterms="http://purl.org/dc/terms/" xmlns:xsi="http://www.w3.org/2001/XMLSchema-instance" xsi:type="dcterms:W3CDTF">2026-06-18T12:07:22Z</dcterms:modified>
</cp:coreProperties>
</file>